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0140" windowHeight="7950" tabRatio="510" activeTab="1"/>
  </bookViews>
  <sheets>
    <sheet name="Губици;добици" sheetId="4" r:id="rId1"/>
    <sheet name="Дифузија" sheetId="6" r:id="rId2"/>
  </sheets>
  <calcPr calcId="124519"/>
</workbook>
</file>

<file path=xl/calcChain.xml><?xml version="1.0" encoding="utf-8"?>
<calcChain xmlns="http://schemas.openxmlformats.org/spreadsheetml/2006/main">
  <c r="E15" i="6"/>
  <c r="Q365" i="4"/>
  <c r="Q366"/>
  <c r="Q367"/>
  <c r="Q368"/>
  <c r="Q369"/>
  <c r="Q370"/>
  <c r="Q364"/>
  <c r="D366"/>
  <c r="D367"/>
  <c r="D368"/>
  <c r="D369"/>
  <c r="D370"/>
  <c r="D371"/>
  <c r="D365"/>
  <c r="F14" i="6"/>
  <c r="D68"/>
  <c r="B64" l="1"/>
  <c r="B65" s="1"/>
  <c r="E67" s="1"/>
  <c r="F67" l="1"/>
  <c r="F27" l="1"/>
  <c r="F30"/>
  <c r="E18"/>
  <c r="D36"/>
  <c r="E36" s="1"/>
  <c r="E46" s="1"/>
  <c r="D55" s="1"/>
  <c r="F29"/>
  <c r="F28"/>
  <c r="E17"/>
  <c r="E16"/>
  <c r="E21" l="1"/>
  <c r="I13" s="1"/>
  <c r="F17" l="1"/>
  <c r="F18"/>
  <c r="F16"/>
  <c r="G14"/>
  <c r="D37" s="1"/>
  <c r="E37" s="1"/>
  <c r="F19"/>
  <c r="F13"/>
  <c r="F15"/>
  <c r="G15" l="1"/>
  <c r="G16" s="1"/>
  <c r="D38" l="1"/>
  <c r="E38" s="1"/>
  <c r="D39"/>
  <c r="E39" s="1"/>
  <c r="G17"/>
  <c r="G18" s="1"/>
  <c r="D41" l="1"/>
  <c r="E41" s="1"/>
  <c r="G19"/>
  <c r="D40"/>
  <c r="E40" s="1"/>
  <c r="D42" l="1"/>
  <c r="E42" s="1"/>
  <c r="G20"/>
  <c r="D43" s="1"/>
  <c r="E43" s="1"/>
  <c r="E47" s="1"/>
  <c r="D56" s="1"/>
  <c r="E58" s="1"/>
  <c r="F58" l="1"/>
  <c r="P432" i="4"/>
  <c r="V370" l="1"/>
  <c r="S370"/>
  <c r="W370" s="1"/>
  <c r="X370" s="1"/>
  <c r="V369"/>
  <c r="S369"/>
  <c r="W369" s="1"/>
  <c r="X369" s="1"/>
  <c r="V368"/>
  <c r="S368"/>
  <c r="W368" s="1"/>
  <c r="X368" s="1"/>
  <c r="V367"/>
  <c r="S367"/>
  <c r="W367" s="1"/>
  <c r="X367" s="1"/>
  <c r="V366"/>
  <c r="S366"/>
  <c r="W366" s="1"/>
  <c r="X366" s="1"/>
  <c r="V365"/>
  <c r="S365"/>
  <c r="W365" s="1"/>
  <c r="X365" s="1"/>
  <c r="V364"/>
  <c r="S364"/>
  <c r="W364" s="1"/>
  <c r="X364" s="1"/>
  <c r="B53"/>
  <c r="B420"/>
  <c r="K442"/>
  <c r="E442"/>
  <c r="D442"/>
  <c r="F433"/>
  <c r="B449" l="1"/>
  <c r="H433"/>
  <c r="J433" s="1"/>
  <c r="M433"/>
  <c r="K433" l="1"/>
  <c r="F442"/>
  <c r="I365"/>
  <c r="F365"/>
  <c r="I366"/>
  <c r="F366"/>
  <c r="I367"/>
  <c r="J367" s="1"/>
  <c r="K367" s="1"/>
  <c r="C378" s="1"/>
  <c r="F367"/>
  <c r="I368"/>
  <c r="F368"/>
  <c r="I369"/>
  <c r="J369" s="1"/>
  <c r="K369" s="1"/>
  <c r="C380" s="1"/>
  <c r="F369"/>
  <c r="I370"/>
  <c r="F370"/>
  <c r="J370" s="1"/>
  <c r="K370" s="1"/>
  <c r="C381" s="1"/>
  <c r="I371"/>
  <c r="F371"/>
  <c r="J371"/>
  <c r="K371" s="1"/>
  <c r="C382" s="1"/>
  <c r="G355"/>
  <c r="G356"/>
  <c r="G357"/>
  <c r="G358"/>
  <c r="G359"/>
  <c r="G360"/>
  <c r="G354"/>
  <c r="G343"/>
  <c r="G344"/>
  <c r="G345"/>
  <c r="G346"/>
  <c r="G347"/>
  <c r="G348"/>
  <c r="G342"/>
  <c r="H41"/>
  <c r="F42"/>
  <c r="H42" s="1"/>
  <c r="F43"/>
  <c r="H43" s="1"/>
  <c r="F44"/>
  <c r="H44" s="1"/>
  <c r="F45"/>
  <c r="H45" s="1"/>
  <c r="F46"/>
  <c r="H46" s="1"/>
  <c r="F47"/>
  <c r="H47" s="1"/>
  <c r="H48"/>
  <c r="B86"/>
  <c r="J368" l="1"/>
  <c r="K368" s="1"/>
  <c r="C379" s="1"/>
  <c r="J366"/>
  <c r="K366" s="1"/>
  <c r="C377" s="1"/>
  <c r="B448"/>
  <c r="B84"/>
  <c r="B87" s="1"/>
  <c r="J365"/>
  <c r="K365" s="1"/>
  <c r="B410"/>
  <c r="H31"/>
  <c r="B70" s="1"/>
  <c r="B73" s="1"/>
  <c r="M94" s="1"/>
  <c r="H32"/>
  <c r="H33"/>
  <c r="H34"/>
  <c r="H35"/>
  <c r="H37"/>
  <c r="H39"/>
  <c r="B71"/>
  <c r="B72"/>
  <c r="B18"/>
  <c r="B64"/>
  <c r="C113"/>
  <c r="D113" s="1"/>
  <c r="F124"/>
  <c r="I124" s="1"/>
  <c r="F126"/>
  <c r="I126" s="1"/>
  <c r="F136"/>
  <c r="I136" s="1"/>
  <c r="F169"/>
  <c r="I169"/>
  <c r="F170"/>
  <c r="I170"/>
  <c r="F171"/>
  <c r="I171" s="1"/>
  <c r="F172"/>
  <c r="I172" s="1"/>
  <c r="F199"/>
  <c r="I199"/>
  <c r="F200"/>
  <c r="I200"/>
  <c r="F201"/>
  <c r="I201" s="1"/>
  <c r="F222"/>
  <c r="I222" s="1"/>
  <c r="I223"/>
  <c r="F223"/>
  <c r="H242"/>
  <c r="K242" s="1"/>
  <c r="D272"/>
  <c r="H272" s="1"/>
  <c r="K272" s="1"/>
  <c r="D273"/>
  <c r="H273" s="1"/>
  <c r="K273" s="1"/>
  <c r="D275"/>
  <c r="H274" s="1"/>
  <c r="D298"/>
  <c r="H298" s="1"/>
  <c r="K298" s="1"/>
  <c r="D299"/>
  <c r="H299" s="1"/>
  <c r="K299" s="1"/>
  <c r="D320"/>
  <c r="H320" s="1"/>
  <c r="K320" s="1"/>
  <c r="D321"/>
  <c r="H321" s="1"/>
  <c r="K321" s="1"/>
  <c r="F132"/>
  <c r="I132" s="1"/>
  <c r="F159"/>
  <c r="I159" s="1"/>
  <c r="F160"/>
  <c r="I160" s="1"/>
  <c r="F161"/>
  <c r="I161"/>
  <c r="F162"/>
  <c r="I162" s="1"/>
  <c r="F191"/>
  <c r="I191" s="1"/>
  <c r="F192"/>
  <c r="I192" s="1"/>
  <c r="F193"/>
  <c r="I193" s="1"/>
  <c r="F216"/>
  <c r="I216" s="1"/>
  <c r="I217"/>
  <c r="F217"/>
  <c r="F130"/>
  <c r="I130" s="1"/>
  <c r="F187"/>
  <c r="I187"/>
  <c r="F188"/>
  <c r="I188" s="1"/>
  <c r="F189"/>
  <c r="I189" s="1"/>
  <c r="F213"/>
  <c r="I213" s="1"/>
  <c r="I214"/>
  <c r="F214"/>
  <c r="F154"/>
  <c r="I154"/>
  <c r="F155"/>
  <c r="I155" s="1"/>
  <c r="F156"/>
  <c r="I156" s="1"/>
  <c r="F157"/>
  <c r="I157" s="1"/>
  <c r="F128"/>
  <c r="I128" s="1"/>
  <c r="F149"/>
  <c r="I149"/>
  <c r="F150"/>
  <c r="I150" s="1"/>
  <c r="F151"/>
  <c r="I151" s="1"/>
  <c r="F152"/>
  <c r="I152" s="1"/>
  <c r="F183"/>
  <c r="I183" s="1"/>
  <c r="F184"/>
  <c r="I184" s="1"/>
  <c r="F185"/>
  <c r="I185"/>
  <c r="F210"/>
  <c r="I210" s="1"/>
  <c r="I211"/>
  <c r="F211"/>
  <c r="F144"/>
  <c r="I144" s="1"/>
  <c r="F145"/>
  <c r="I145" s="1"/>
  <c r="F146"/>
  <c r="I146" s="1"/>
  <c r="F147"/>
  <c r="I147" s="1"/>
  <c r="F179"/>
  <c r="I179" s="1"/>
  <c r="F180"/>
  <c r="I180"/>
  <c r="F181"/>
  <c r="I181" s="1"/>
  <c r="F207"/>
  <c r="I207" s="1"/>
  <c r="I208"/>
  <c r="F208"/>
  <c r="F139"/>
  <c r="I139" s="1"/>
  <c r="F140"/>
  <c r="I140" s="1"/>
  <c r="F141"/>
  <c r="I141" s="1"/>
  <c r="F142"/>
  <c r="I142" s="1"/>
  <c r="F175"/>
  <c r="I175" s="1"/>
  <c r="F176"/>
  <c r="I176" s="1"/>
  <c r="F177"/>
  <c r="I177"/>
  <c r="F204"/>
  <c r="I204" s="1"/>
  <c r="F205"/>
  <c r="H244"/>
  <c r="K244" s="1"/>
  <c r="D277"/>
  <c r="H277" s="1"/>
  <c r="K277" s="1"/>
  <c r="D278"/>
  <c r="H278" s="1"/>
  <c r="K278" s="1"/>
  <c r="D279"/>
  <c r="H279" s="1"/>
  <c r="K279" s="1"/>
  <c r="D280"/>
  <c r="H280" s="1"/>
  <c r="K280" s="1"/>
  <c r="D301"/>
  <c r="H301" s="1"/>
  <c r="K301" s="1"/>
  <c r="D302"/>
  <c r="H302" s="1"/>
  <c r="K302" s="1"/>
  <c r="D323"/>
  <c r="H323"/>
  <c r="K323" s="1"/>
  <c r="D324"/>
  <c r="H324" s="1"/>
  <c r="K324" s="1"/>
  <c r="H240"/>
  <c r="K240" s="1"/>
  <c r="D267"/>
  <c r="H267" s="1"/>
  <c r="K267" s="1"/>
  <c r="D268"/>
  <c r="H268" s="1"/>
  <c r="K268" s="1"/>
  <c r="D269"/>
  <c r="H269"/>
  <c r="K269" s="1"/>
  <c r="D270"/>
  <c r="H270" s="1"/>
  <c r="K270" s="1"/>
  <c r="D295"/>
  <c r="H295" s="1"/>
  <c r="K295" s="1"/>
  <c r="D296"/>
  <c r="H296" s="1"/>
  <c r="K296" s="1"/>
  <c r="D317"/>
  <c r="H317" s="1"/>
  <c r="K317" s="1"/>
  <c r="D318"/>
  <c r="H318" s="1"/>
  <c r="K318" s="1"/>
  <c r="H238"/>
  <c r="K238" s="1"/>
  <c r="D262"/>
  <c r="H262" s="1"/>
  <c r="K262" s="1"/>
  <c r="D263"/>
  <c r="H263"/>
  <c r="K263" s="1"/>
  <c r="D264"/>
  <c r="H264" s="1"/>
  <c r="K264" s="1"/>
  <c r="D265"/>
  <c r="H265" s="1"/>
  <c r="K265" s="1"/>
  <c r="D292"/>
  <c r="H292" s="1"/>
  <c r="K292" s="1"/>
  <c r="D293"/>
  <c r="H293" s="1"/>
  <c r="K293" s="1"/>
  <c r="D314"/>
  <c r="H314" s="1"/>
  <c r="K314" s="1"/>
  <c r="D315"/>
  <c r="H315"/>
  <c r="K315" s="1"/>
  <c r="H236"/>
  <c r="K236" s="1"/>
  <c r="D257"/>
  <c r="H257"/>
  <c r="K257" s="1"/>
  <c r="D258"/>
  <c r="H258" s="1"/>
  <c r="K258" s="1"/>
  <c r="D259"/>
  <c r="H259"/>
  <c r="K259" s="1"/>
  <c r="D260"/>
  <c r="H260" s="1"/>
  <c r="K260" s="1"/>
  <c r="D289"/>
  <c r="H289" s="1"/>
  <c r="K289" s="1"/>
  <c r="D290"/>
  <c r="H290" s="1"/>
  <c r="K290" s="1"/>
  <c r="D311"/>
  <c r="H311" s="1"/>
  <c r="K311" s="1"/>
  <c r="D312"/>
  <c r="H312" s="1"/>
  <c r="K312" s="1"/>
  <c r="H234"/>
  <c r="K234" s="1"/>
  <c r="D252"/>
  <c r="H252" s="1"/>
  <c r="K252" s="1"/>
  <c r="D253"/>
  <c r="H253"/>
  <c r="K253" s="1"/>
  <c r="D254"/>
  <c r="H254" s="1"/>
  <c r="K254" s="1"/>
  <c r="D255"/>
  <c r="H255" s="1"/>
  <c r="K255" s="1"/>
  <c r="D286"/>
  <c r="H286" s="1"/>
  <c r="K286" s="1"/>
  <c r="D287"/>
  <c r="H287"/>
  <c r="K287" s="1"/>
  <c r="D308"/>
  <c r="H308" s="1"/>
  <c r="K308" s="1"/>
  <c r="D309"/>
  <c r="H309"/>
  <c r="K309" s="1"/>
  <c r="H232"/>
  <c r="K232" s="1"/>
  <c r="D247"/>
  <c r="H247"/>
  <c r="K247" s="1"/>
  <c r="D248"/>
  <c r="H248" s="1"/>
  <c r="K248" s="1"/>
  <c r="D249"/>
  <c r="H249"/>
  <c r="K249" s="1"/>
  <c r="D250"/>
  <c r="H250" s="1"/>
  <c r="K250" s="1"/>
  <c r="D283"/>
  <c r="H283" s="1"/>
  <c r="K283" s="1"/>
  <c r="D284"/>
  <c r="H284" s="1"/>
  <c r="K284" s="1"/>
  <c r="D305"/>
  <c r="H305"/>
  <c r="K305" s="1"/>
  <c r="D306"/>
  <c r="H306" s="1"/>
  <c r="K306" s="1"/>
  <c r="C376" l="1"/>
  <c r="C383" s="1"/>
  <c r="B454" s="1"/>
  <c r="B456" s="1"/>
  <c r="K372"/>
  <c r="B414" s="1"/>
  <c r="G414" s="1"/>
  <c r="I205"/>
  <c r="K274"/>
  <c r="K275"/>
  <c r="C335"/>
  <c r="N96"/>
  <c r="N100"/>
  <c r="N95"/>
  <c r="N99"/>
  <c r="N98"/>
  <c r="N97"/>
  <c r="N94"/>
  <c r="C332"/>
  <c r="C329"/>
  <c r="C331"/>
  <c r="J334"/>
  <c r="G124"/>
  <c r="J124" s="1"/>
  <c r="M124" s="1"/>
  <c r="G170"/>
  <c r="J170" s="1"/>
  <c r="M170" s="1"/>
  <c r="G200"/>
  <c r="J200" s="1"/>
  <c r="M200" s="1"/>
  <c r="G159"/>
  <c r="J159" s="1"/>
  <c r="M159" s="1"/>
  <c r="G191"/>
  <c r="J191" s="1"/>
  <c r="M191" s="1"/>
  <c r="G217"/>
  <c r="J217" s="1"/>
  <c r="M217" s="1"/>
  <c r="G187"/>
  <c r="J187" s="1"/>
  <c r="M187" s="1"/>
  <c r="G214"/>
  <c r="J214" s="1"/>
  <c r="M214" s="1"/>
  <c r="G156"/>
  <c r="J156" s="1"/>
  <c r="M156" s="1"/>
  <c r="G149"/>
  <c r="J149" s="1"/>
  <c r="M149" s="1"/>
  <c r="G183"/>
  <c r="J183" s="1"/>
  <c r="M183" s="1"/>
  <c r="G211"/>
  <c r="J211" s="1"/>
  <c r="M211" s="1"/>
  <c r="G147"/>
  <c r="J147" s="1"/>
  <c r="M147" s="1"/>
  <c r="G207"/>
  <c r="J207" s="1"/>
  <c r="M207" s="1"/>
  <c r="G141"/>
  <c r="J141" s="1"/>
  <c r="M141" s="1"/>
  <c r="G177"/>
  <c r="J177" s="1"/>
  <c r="M177" s="1"/>
  <c r="G189"/>
  <c r="J189" s="1"/>
  <c r="M189" s="1"/>
  <c r="G154"/>
  <c r="J154" s="1"/>
  <c r="M154" s="1"/>
  <c r="G185"/>
  <c r="J185" s="1"/>
  <c r="M185" s="1"/>
  <c r="G145"/>
  <c r="J145" s="1"/>
  <c r="M145" s="1"/>
  <c r="G180"/>
  <c r="J180" s="1"/>
  <c r="M180" s="1"/>
  <c r="G139"/>
  <c r="J139" s="1"/>
  <c r="M139" s="1"/>
  <c r="G205"/>
  <c r="G126"/>
  <c r="J126" s="1"/>
  <c r="M126" s="1"/>
  <c r="G169"/>
  <c r="J169" s="1"/>
  <c r="M169" s="1"/>
  <c r="G199"/>
  <c r="J199" s="1"/>
  <c r="M199" s="1"/>
  <c r="G223"/>
  <c r="J223" s="1"/>
  <c r="M223" s="1"/>
  <c r="G132"/>
  <c r="J132" s="1"/>
  <c r="M132" s="1"/>
  <c r="G162"/>
  <c r="J162" s="1"/>
  <c r="M162" s="1"/>
  <c r="G216"/>
  <c r="J216" s="1"/>
  <c r="M216" s="1"/>
  <c r="G130"/>
  <c r="J130" s="1"/>
  <c r="M130" s="1"/>
  <c r="G213"/>
  <c r="J213" s="1"/>
  <c r="M213" s="1"/>
  <c r="G155"/>
  <c r="J155" s="1"/>
  <c r="M155" s="1"/>
  <c r="G128"/>
  <c r="J128" s="1"/>
  <c r="M128" s="1"/>
  <c r="G152"/>
  <c r="J152" s="1"/>
  <c r="M152" s="1"/>
  <c r="G210"/>
  <c r="J210" s="1"/>
  <c r="M210" s="1"/>
  <c r="G146"/>
  <c r="J146" s="1"/>
  <c r="M146" s="1"/>
  <c r="G181"/>
  <c r="J181" s="1"/>
  <c r="M181" s="1"/>
  <c r="G140"/>
  <c r="J140" s="1"/>
  <c r="M140" s="1"/>
  <c r="G176"/>
  <c r="J176" s="1"/>
  <c r="M176" s="1"/>
  <c r="G136"/>
  <c r="J136" s="1"/>
  <c r="M136" s="1"/>
  <c r="G172"/>
  <c r="J172" s="1"/>
  <c r="M172" s="1"/>
  <c r="G161"/>
  <c r="J161" s="1"/>
  <c r="M161" s="1"/>
  <c r="G193"/>
  <c r="J193" s="1"/>
  <c r="M193" s="1"/>
  <c r="G175"/>
  <c r="J175" s="1"/>
  <c r="M175" s="1"/>
  <c r="G171"/>
  <c r="J171" s="1"/>
  <c r="M171" s="1"/>
  <c r="G201"/>
  <c r="J201" s="1"/>
  <c r="M201" s="1"/>
  <c r="G160"/>
  <c r="J160" s="1"/>
  <c r="M160" s="1"/>
  <c r="G192"/>
  <c r="J192" s="1"/>
  <c r="M192" s="1"/>
  <c r="G188"/>
  <c r="J188" s="1"/>
  <c r="M188" s="1"/>
  <c r="G157"/>
  <c r="J157" s="1"/>
  <c r="M157" s="1"/>
  <c r="G150"/>
  <c r="J150" s="1"/>
  <c r="M150" s="1"/>
  <c r="G184"/>
  <c r="J184" s="1"/>
  <c r="M184" s="1"/>
  <c r="G144"/>
  <c r="J144" s="1"/>
  <c r="M144" s="1"/>
  <c r="G179"/>
  <c r="J179" s="1"/>
  <c r="M179" s="1"/>
  <c r="G208"/>
  <c r="J208" s="1"/>
  <c r="M208" s="1"/>
  <c r="G142"/>
  <c r="J142" s="1"/>
  <c r="M142" s="1"/>
  <c r="G204"/>
  <c r="J204" s="1"/>
  <c r="M204" s="1"/>
  <c r="G222"/>
  <c r="J222" s="1"/>
  <c r="M222" s="1"/>
  <c r="G151"/>
  <c r="J151" s="1"/>
  <c r="M151" s="1"/>
  <c r="C330"/>
  <c r="C333"/>
  <c r="G196"/>
  <c r="F196"/>
  <c r="I196" s="1"/>
  <c r="J196" s="1"/>
  <c r="M196" s="1"/>
  <c r="G197"/>
  <c r="F197"/>
  <c r="I197" s="1"/>
  <c r="D274"/>
  <c r="B74"/>
  <c r="B75" s="1"/>
  <c r="B88"/>
  <c r="B89"/>
  <c r="B92"/>
  <c r="B93" s="1"/>
  <c r="J205" l="1"/>
  <c r="M205" s="1"/>
  <c r="J329" s="1"/>
  <c r="B97"/>
  <c r="C334"/>
  <c r="J197"/>
  <c r="B421"/>
  <c r="H421" s="1"/>
  <c r="J331"/>
  <c r="J332"/>
  <c r="J333"/>
  <c r="J330"/>
  <c r="J335"/>
  <c r="B21"/>
  <c r="G164"/>
  <c r="G165"/>
  <c r="J165" s="1"/>
  <c r="M165" s="1"/>
  <c r="G166"/>
  <c r="G167"/>
  <c r="G195"/>
  <c r="G219"/>
  <c r="J219" s="1"/>
  <c r="M219" s="1"/>
  <c r="G220"/>
  <c r="G134"/>
  <c r="F220"/>
  <c r="F219"/>
  <c r="I219" s="1"/>
  <c r="M197"/>
  <c r="F195"/>
  <c r="I195" s="1"/>
  <c r="J195" s="1"/>
  <c r="M195" s="1"/>
  <c r="F167"/>
  <c r="I167" s="1"/>
  <c r="F166"/>
  <c r="I166" s="1"/>
  <c r="F165"/>
  <c r="I165" s="1"/>
  <c r="F164"/>
  <c r="I164" s="1"/>
  <c r="J164" s="1"/>
  <c r="M164" s="1"/>
  <c r="F134"/>
  <c r="I134" s="1"/>
  <c r="F113"/>
  <c r="E113"/>
  <c r="B96"/>
  <c r="B65"/>
  <c r="H49"/>
  <c r="B55" s="1"/>
  <c r="B57" s="1"/>
  <c r="F49"/>
  <c r="B23"/>
  <c r="I220" l="1"/>
  <c r="J220" s="1"/>
  <c r="M220" s="1"/>
  <c r="B425"/>
  <c r="G442" s="1"/>
  <c r="M442" s="1"/>
  <c r="N442" s="1"/>
  <c r="J166"/>
  <c r="M166" s="1"/>
  <c r="J134"/>
  <c r="M134" s="1"/>
  <c r="J167"/>
  <c r="M167" s="1"/>
  <c r="J442" l="1"/>
  <c r="L442" s="1"/>
  <c r="B447"/>
  <c r="B450" s="1"/>
  <c r="B451" s="1"/>
</calcChain>
</file>

<file path=xl/sharedStrings.xml><?xml version="1.0" encoding="utf-8"?>
<sst xmlns="http://schemas.openxmlformats.org/spreadsheetml/2006/main" count="696" uniqueCount="353">
  <si>
    <t>Локација</t>
  </si>
  <si>
    <t>HDD</t>
  </si>
  <si>
    <t>HD</t>
  </si>
  <si>
    <t>Положај</t>
  </si>
  <si>
    <t>Број фасада изложених ветру</t>
  </si>
  <si>
    <t>Спољни зидови</t>
  </si>
  <si>
    <t>ЗС</t>
  </si>
  <si>
    <t>m</t>
  </si>
  <si>
    <t>Север</t>
  </si>
  <si>
    <t>Исток</t>
  </si>
  <si>
    <t>Југ</t>
  </si>
  <si>
    <t>Запад</t>
  </si>
  <si>
    <t>КР</t>
  </si>
  <si>
    <t>МКП</t>
  </si>
  <si>
    <t>ВУ</t>
  </si>
  <si>
    <t>ПС1</t>
  </si>
  <si>
    <t>ПС2</t>
  </si>
  <si>
    <t>ПС3</t>
  </si>
  <si>
    <t>ПС4</t>
  </si>
  <si>
    <t>ПС5</t>
  </si>
  <si>
    <t>ПС6</t>
  </si>
  <si>
    <t>ПС7</t>
  </si>
  <si>
    <t>Број</t>
  </si>
  <si>
    <t>Ознака</t>
  </si>
  <si>
    <t>НЕ</t>
  </si>
  <si>
    <t>Међуспратна конструкција изнад негрејаног простора (подрума)</t>
  </si>
  <si>
    <t>Унутрашњи зидови ка негрејаном простору</t>
  </si>
  <si>
    <t>ЗУ</t>
  </si>
  <si>
    <t>Унутрашњи врата ка негрејаном простору</t>
  </si>
  <si>
    <t>Прозори грејаних просторија</t>
  </si>
  <si>
    <t>ВС</t>
  </si>
  <si>
    <t>Губици топлоте</t>
  </si>
  <si>
    <t xml:space="preserve">Висина од пода до плафона </t>
  </si>
  <si>
    <t>Нето површина грејаног дела зграде</t>
  </si>
  <si>
    <t>Нето запремина грејаног дела зграде</t>
  </si>
  <si>
    <t>Висина од пода до пода</t>
  </si>
  <si>
    <t>Бруто површина грејаног дела зграде</t>
  </si>
  <si>
    <t>Бруто запремина грејаног дела зграде</t>
  </si>
  <si>
    <t>Бруто површина термичког омотача</t>
  </si>
  <si>
    <t>Фактор облика</t>
  </si>
  <si>
    <t>Удео</t>
  </si>
  <si>
    <t>Удео транспарентних површина</t>
  </si>
  <si>
    <t>Коефицијент трансмисионих губитака</t>
  </si>
  <si>
    <t>Површински трансмисиони губици</t>
  </si>
  <si>
    <t>Опис грађевинског елемента</t>
  </si>
  <si>
    <t>Линијски трансмисиони губици</t>
  </si>
  <si>
    <t>Укупни трансмисиони губици</t>
  </si>
  <si>
    <t>Специфични трансмисиони губитак</t>
  </si>
  <si>
    <t>Испуњено</t>
  </si>
  <si>
    <t>Коефицијент вентилационих губитака</t>
  </si>
  <si>
    <t>Број измена ваздуха</t>
  </si>
  <si>
    <t>Трансмисиони губици кроз нетранспарентни део зграде</t>
  </si>
  <si>
    <t>Коефицијент трансмисионог губитка нетранспарентног дела</t>
  </si>
  <si>
    <t>Бруто површина термичког омотача нетранспарентног дела</t>
  </si>
  <si>
    <t>Коефицијент линијског трансмисионог губитка нетранспарентног дела</t>
  </si>
  <si>
    <t>Коефицијент укупног трансмисионог губитка нетранспарентног дела</t>
  </si>
  <si>
    <t>Трансмисиони губици кроз транспарентни део зграде</t>
  </si>
  <si>
    <t>Коефицијент трансмисионог губитка транспарентног дела</t>
  </si>
  <si>
    <t>Бруто површина термичког омотача транспарентног дела</t>
  </si>
  <si>
    <t>Коефицијент линијског трансмисионог губитка транспарентног дела</t>
  </si>
  <si>
    <t>Коефицијент укупног трансмисионог губитка транспарентног дела</t>
  </si>
  <si>
    <t>Вентилациони губици кроз транспарентни део зграде</t>
  </si>
  <si>
    <t>Укупни губици топлоте</t>
  </si>
  <si>
    <t>Прорачун добитака топлоте</t>
  </si>
  <si>
    <t>Оријентација и површина позиција</t>
  </si>
  <si>
    <t>СЗ</t>
  </si>
  <si>
    <t>ПР</t>
  </si>
  <si>
    <t>Улазни подаци за прорачун добитака од Сунчевог зрачења</t>
  </si>
  <si>
    <t>Фактор осенчености</t>
  </si>
  <si>
    <t>S</t>
  </si>
  <si>
    <t>J</t>
  </si>
  <si>
    <t>I</t>
  </si>
  <si>
    <t>Z</t>
  </si>
  <si>
    <t>За транспарентне површине</t>
  </si>
  <si>
    <t>Количина</t>
  </si>
  <si>
    <t>Ширина</t>
  </si>
  <si>
    <t>Висина</t>
  </si>
  <si>
    <t>Површина грађевинског отвора</t>
  </si>
  <si>
    <t>Фактор проп. Сунчевог зрачења за стакло</t>
  </si>
  <si>
    <t>Површина рама</t>
  </si>
  <si>
    <t>Фактор рама</t>
  </si>
  <si>
    <t>Осунчана површина</t>
  </si>
  <si>
    <t>Средње суме Сунчевог зрачења</t>
  </si>
  <si>
    <t>Фактор осенчености зграде</t>
  </si>
  <si>
    <t>Добици топлоте од Сунчевог зрачења</t>
  </si>
  <si>
    <t>n</t>
  </si>
  <si>
    <t>b</t>
  </si>
  <si>
    <t>h</t>
  </si>
  <si>
    <t>kom</t>
  </si>
  <si>
    <t>-</t>
  </si>
  <si>
    <t>kWh</t>
  </si>
  <si>
    <t>октобар</t>
  </si>
  <si>
    <t>новембар</t>
  </si>
  <si>
    <t>децембар</t>
  </si>
  <si>
    <t>јануар</t>
  </si>
  <si>
    <t>фебруар</t>
  </si>
  <si>
    <t>март</t>
  </si>
  <si>
    <t>април</t>
  </si>
  <si>
    <t>Af</t>
  </si>
  <si>
    <t>Meђуспратна конструкција изнад негрејаног простора (подрума)</t>
  </si>
  <si>
    <t>Meђуспратна конструкција изнад спољног простора (под на тлу)</t>
  </si>
  <si>
    <t>МО</t>
  </si>
  <si>
    <t>Meђуспратна конструкција испод негрејаног простора (тавана)</t>
  </si>
  <si>
    <t>МКТ</t>
  </si>
  <si>
    <t>Спољашња врата</t>
  </si>
  <si>
    <t>Aw</t>
  </si>
  <si>
    <t>СВ</t>
  </si>
  <si>
    <t>Једна</t>
  </si>
  <si>
    <t>Умерено заклоњен</t>
  </si>
  <si>
    <t>Ниш</t>
  </si>
  <si>
    <t>За нетранспарентне површине</t>
  </si>
  <si>
    <t>Рачунска површина зида</t>
  </si>
  <si>
    <t>Емисивност спољног зида</t>
  </si>
  <si>
    <t>Отпор прелазу топлоте</t>
  </si>
  <si>
    <t>Коефицијент пролаза тополоте</t>
  </si>
  <si>
    <t>ЗС1</t>
  </si>
  <si>
    <t>ЗС2</t>
  </si>
  <si>
    <t>ЗС3</t>
  </si>
  <si>
    <t>ЗС4</t>
  </si>
  <si>
    <t>Месец</t>
  </si>
  <si>
    <t>Октобар</t>
  </si>
  <si>
    <t>Новeмбар</t>
  </si>
  <si>
    <t>Децембар</t>
  </si>
  <si>
    <t>Јануар</t>
  </si>
  <si>
    <t>Фебруар</t>
  </si>
  <si>
    <t>Март</t>
  </si>
  <si>
    <t>Април</t>
  </si>
  <si>
    <t>Qsol,c</t>
  </si>
  <si>
    <t>W/K</t>
  </si>
  <si>
    <t>Годишња потребна топлота за надокнаду губитака топлоте</t>
  </si>
  <si>
    <t>W/m²</t>
  </si>
  <si>
    <t>m²</t>
  </si>
  <si>
    <t>Топлотни добици од људи</t>
  </si>
  <si>
    <t>kWh/m²a</t>
  </si>
  <si>
    <t>Топлотни добици од електричних уређаја</t>
  </si>
  <si>
    <t>Ʃ</t>
  </si>
  <si>
    <t>Укупни топлотни добици зграде</t>
  </si>
  <si>
    <t>Топлотна енергија потребна за грејање</t>
  </si>
  <si>
    <t>Топлотни губици система за грејање</t>
  </si>
  <si>
    <t>изолована у делу негрејаног простора</t>
  </si>
  <si>
    <t>η</t>
  </si>
  <si>
    <t>Aутоматска централна са поделом на зоне</t>
  </si>
  <si>
    <t>Kотлови преко 50 kW, аутоматска регулација</t>
  </si>
  <si>
    <t>Испоручена топлота за грејање</t>
  </si>
  <si>
    <t>Број дана у грејној сезони</t>
  </si>
  <si>
    <t>Нето површина</t>
  </si>
  <si>
    <t>Топлота потребна  за припрему СТВ по јединици површине грејаног простора</t>
  </si>
  <si>
    <t>Финална потреба за топлотом за припрему СТВ</t>
  </si>
  <si>
    <t>Топлотни губици система за припрему СТВ</t>
  </si>
  <si>
    <t>Испоручена топлота за припрему СТВ</t>
  </si>
  <si>
    <t>Специфична испоручена топлота за припрему СТВ</t>
  </si>
  <si>
    <t>Специфична финална потреба за топлотом за припрему СТВ</t>
  </si>
  <si>
    <t>[kWh/a]</t>
  </si>
  <si>
    <t>Određivanje godišnje primarne energije</t>
  </si>
  <si>
    <t>Broj dana u mesecu</t>
  </si>
  <si>
    <t>Broj sati dnevno</t>
  </si>
  <si>
    <t>Snaga pumpe</t>
  </si>
  <si>
    <t>Finalna energija za pogon pumpe</t>
  </si>
  <si>
    <t>Dobitak od električnih uređaja</t>
  </si>
  <si>
    <t>Isporučena toplota za pripremu STV</t>
  </si>
  <si>
    <t>Isporučena toplota za grejanje</t>
  </si>
  <si>
    <t>Faktor pretvaranja el.energije</t>
  </si>
  <si>
    <t>Faktor pretvaranja za grejanje i STV</t>
  </si>
  <si>
    <t>P</t>
  </si>
  <si>
    <t>Primarna energija za pogon postrojenja</t>
  </si>
  <si>
    <t>Neto površina poda</t>
  </si>
  <si>
    <t>Specifična isporučena energija</t>
  </si>
  <si>
    <t>W</t>
  </si>
  <si>
    <t>kWh/a</t>
  </si>
  <si>
    <t>Одређивање енергетског разреда зграде</t>
  </si>
  <si>
    <t>p</t>
  </si>
  <si>
    <r>
      <t>A</t>
    </r>
    <r>
      <rPr>
        <vertAlign val="subscript"/>
        <sz val="11"/>
        <color theme="1"/>
        <rFont val="Times New Roman"/>
        <family val="1"/>
      </rPr>
      <t xml:space="preserve">neto </t>
    </r>
    <r>
      <rPr>
        <sz val="11"/>
        <color theme="1"/>
        <rFont val="Times New Roman"/>
        <family val="1"/>
      </rPr>
      <t>[m</t>
    </r>
    <r>
      <rPr>
        <vertAlign val="super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]</t>
    </r>
  </si>
  <si>
    <r>
      <t>θ</t>
    </r>
    <r>
      <rPr>
        <vertAlign val="subscript"/>
        <sz val="11"/>
        <color theme="1"/>
        <rFont val="Times New Roman"/>
        <family val="1"/>
      </rPr>
      <t>H,e</t>
    </r>
    <r>
      <rPr>
        <sz val="11"/>
        <color theme="1"/>
        <rFont val="Times New Roman"/>
        <family val="1"/>
      </rPr>
      <t xml:space="preserve"> [°C]</t>
    </r>
  </si>
  <si>
    <r>
      <t>θ</t>
    </r>
    <r>
      <rPr>
        <vertAlign val="subscript"/>
        <sz val="11"/>
        <color theme="1"/>
        <rFont val="Times New Roman"/>
        <family val="1"/>
      </rPr>
      <t>H,mn</t>
    </r>
    <r>
      <rPr>
        <sz val="11"/>
        <color theme="1"/>
        <rFont val="Times New Roman"/>
        <family val="1"/>
      </rPr>
      <t xml:space="preserve"> [°C]</t>
    </r>
  </si>
  <si>
    <r>
      <t>θ</t>
    </r>
    <r>
      <rPr>
        <vertAlign val="subscript"/>
        <sz val="11"/>
        <color theme="1"/>
        <rFont val="Times New Roman"/>
        <family val="1"/>
      </rPr>
      <t>H,i</t>
    </r>
    <r>
      <rPr>
        <sz val="11"/>
        <color theme="1"/>
        <rFont val="Times New Roman"/>
        <family val="1"/>
      </rPr>
      <t xml:space="preserve"> [°C]</t>
    </r>
  </si>
  <si>
    <r>
      <t>h</t>
    </r>
    <r>
      <rPr>
        <vertAlign val="subscript"/>
        <sz val="11"/>
        <color theme="1"/>
        <rFont val="Times New Roman"/>
        <family val="1"/>
      </rPr>
      <t>neto</t>
    </r>
    <r>
      <rPr>
        <sz val="11"/>
        <color theme="1"/>
        <rFont val="Times New Roman"/>
        <family val="1"/>
      </rPr>
      <t xml:space="preserve"> [m]</t>
    </r>
  </si>
  <si>
    <r>
      <t>A</t>
    </r>
    <r>
      <rPr>
        <vertAlign val="subscript"/>
        <sz val="11"/>
        <color theme="1"/>
        <rFont val="Times New Roman"/>
        <family val="1"/>
      </rPr>
      <t xml:space="preserve">f </t>
    </r>
    <r>
      <rPr>
        <sz val="11"/>
        <color theme="1"/>
        <rFont val="Times New Roman"/>
        <family val="1"/>
      </rPr>
      <t>[m</t>
    </r>
    <r>
      <rPr>
        <vertAlign val="super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]</t>
    </r>
  </si>
  <si>
    <r>
      <t>V</t>
    </r>
    <r>
      <rPr>
        <vertAlign val="subscript"/>
        <sz val="11"/>
        <color theme="1"/>
        <rFont val="Times New Roman"/>
        <family val="1"/>
      </rPr>
      <t>neto</t>
    </r>
    <r>
      <rPr>
        <sz val="11"/>
        <color theme="1"/>
        <rFont val="Times New Roman"/>
        <family val="1"/>
      </rPr>
      <t xml:space="preserve"> [m</t>
    </r>
    <r>
      <rPr>
        <vertAlign val="superscript"/>
        <sz val="11"/>
        <color theme="1"/>
        <rFont val="Times New Roman"/>
        <family val="1"/>
      </rPr>
      <t>3</t>
    </r>
    <r>
      <rPr>
        <sz val="11"/>
        <color theme="1"/>
        <rFont val="Times New Roman"/>
        <family val="1"/>
      </rPr>
      <t>]</t>
    </r>
  </si>
  <si>
    <r>
      <t>h</t>
    </r>
    <r>
      <rPr>
        <vertAlign val="subscript"/>
        <sz val="11"/>
        <color theme="1"/>
        <rFont val="Times New Roman"/>
        <family val="1"/>
      </rPr>
      <t>bruto</t>
    </r>
    <r>
      <rPr>
        <sz val="11"/>
        <color theme="1"/>
        <rFont val="Times New Roman"/>
        <family val="1"/>
      </rPr>
      <t xml:space="preserve"> [m]</t>
    </r>
  </si>
  <si>
    <r>
      <t>A</t>
    </r>
    <r>
      <rPr>
        <vertAlign val="subscript"/>
        <sz val="11"/>
        <color theme="1"/>
        <rFont val="Times New Roman"/>
        <family val="1"/>
      </rPr>
      <t>bruto</t>
    </r>
    <r>
      <rPr>
        <sz val="11"/>
        <color theme="1"/>
        <rFont val="Times New Roman"/>
        <family val="1"/>
      </rPr>
      <t xml:space="preserve">  [m</t>
    </r>
    <r>
      <rPr>
        <vertAlign val="super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]</t>
    </r>
  </si>
  <si>
    <r>
      <t>V</t>
    </r>
    <r>
      <rPr>
        <vertAlign val="subscript"/>
        <sz val="11"/>
        <color theme="1"/>
        <rFont val="Times New Roman"/>
        <family val="1"/>
      </rPr>
      <t>e</t>
    </r>
    <r>
      <rPr>
        <sz val="11"/>
        <color theme="1"/>
        <rFont val="Times New Roman"/>
        <family val="1"/>
      </rPr>
      <t xml:space="preserve"> [m</t>
    </r>
    <r>
      <rPr>
        <vertAlign val="superscript"/>
        <sz val="11"/>
        <color theme="1"/>
        <rFont val="Times New Roman"/>
        <family val="1"/>
      </rPr>
      <t>3</t>
    </r>
    <r>
      <rPr>
        <sz val="11"/>
        <color theme="1"/>
        <rFont val="Times New Roman"/>
        <family val="1"/>
      </rPr>
      <t>]</t>
    </r>
  </si>
  <si>
    <r>
      <t>A</t>
    </r>
    <r>
      <rPr>
        <vertAlign val="subscript"/>
        <sz val="11"/>
        <color theme="1"/>
        <rFont val="Times New Roman"/>
        <family val="1"/>
      </rPr>
      <t>om,bruto</t>
    </r>
    <r>
      <rPr>
        <sz val="11"/>
        <color theme="1"/>
        <rFont val="Times New Roman"/>
        <family val="1"/>
      </rPr>
      <t xml:space="preserve"> [m</t>
    </r>
    <r>
      <rPr>
        <vertAlign val="super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]</t>
    </r>
  </si>
  <si>
    <r>
      <t>f</t>
    </r>
    <r>
      <rPr>
        <vertAlign val="subscript"/>
        <sz val="11"/>
        <color theme="1"/>
        <rFont val="Times New Roman"/>
        <family val="1"/>
      </rPr>
      <t>o</t>
    </r>
    <r>
      <rPr>
        <sz val="11"/>
        <color theme="1"/>
        <rFont val="Times New Roman"/>
        <family val="1"/>
      </rPr>
      <t xml:space="preserve"> [m</t>
    </r>
    <r>
      <rPr>
        <vertAlign val="superscript"/>
        <sz val="11"/>
        <color theme="1"/>
        <rFont val="Times New Roman"/>
        <family val="1"/>
      </rPr>
      <t>-1</t>
    </r>
    <r>
      <rPr>
        <sz val="11"/>
        <color theme="1"/>
        <rFont val="Times New Roman"/>
        <family val="1"/>
      </rPr>
      <t>]</t>
    </r>
  </si>
  <si>
    <r>
      <t>U [W/m</t>
    </r>
    <r>
      <rPr>
        <vertAlign val="super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K]</t>
    </r>
  </si>
  <si>
    <r>
      <t>A [m</t>
    </r>
    <r>
      <rPr>
        <vertAlign val="super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] (neto)</t>
    </r>
  </si>
  <si>
    <r>
      <t>F</t>
    </r>
    <r>
      <rPr>
        <vertAlign val="subscript"/>
        <sz val="11"/>
        <color theme="1"/>
        <rFont val="Times New Roman"/>
        <family val="1"/>
      </rPr>
      <t>x</t>
    </r>
  </si>
  <si>
    <r>
      <t>U*A*F</t>
    </r>
    <r>
      <rPr>
        <vertAlign val="subscript"/>
        <sz val="11"/>
        <color theme="1"/>
        <rFont val="Times New Roman"/>
        <family val="1"/>
      </rPr>
      <t>x</t>
    </r>
  </si>
  <si>
    <r>
      <t>H</t>
    </r>
    <r>
      <rPr>
        <vertAlign val="subscript"/>
        <sz val="11"/>
        <color theme="1"/>
        <rFont val="Times New Roman"/>
        <family val="1"/>
      </rPr>
      <t>TS</t>
    </r>
    <r>
      <rPr>
        <sz val="11"/>
        <color theme="1"/>
        <rFont val="Times New Roman"/>
        <family val="1"/>
      </rPr>
      <t xml:space="preserve"> [W/K]</t>
    </r>
  </si>
  <si>
    <r>
      <t>H</t>
    </r>
    <r>
      <rPr>
        <vertAlign val="subscript"/>
        <sz val="11"/>
        <color theme="1"/>
        <rFont val="Times New Roman"/>
        <family val="1"/>
      </rPr>
      <t>TB</t>
    </r>
    <r>
      <rPr>
        <sz val="11"/>
        <color theme="1"/>
        <rFont val="Times New Roman"/>
        <family val="1"/>
      </rPr>
      <t xml:space="preserve"> [W/K]</t>
    </r>
  </si>
  <si>
    <r>
      <t>H</t>
    </r>
    <r>
      <rPr>
        <vertAlign val="subscript"/>
        <sz val="11"/>
        <color theme="1"/>
        <rFont val="Times New Roman"/>
        <family val="1"/>
      </rPr>
      <t>T</t>
    </r>
    <r>
      <rPr>
        <sz val="11"/>
        <color theme="1"/>
        <rFont val="Times New Roman"/>
        <family val="1"/>
      </rPr>
      <t xml:space="preserve"> [W/K]</t>
    </r>
  </si>
  <si>
    <r>
      <t>H'</t>
    </r>
    <r>
      <rPr>
        <vertAlign val="subscript"/>
        <sz val="11"/>
        <color theme="1"/>
        <rFont val="Times New Roman"/>
        <family val="1"/>
      </rPr>
      <t>T</t>
    </r>
    <r>
      <rPr>
        <sz val="11"/>
        <color theme="1"/>
        <rFont val="Times New Roman"/>
        <family val="1"/>
      </rPr>
      <t xml:space="preserve"> [W/m</t>
    </r>
    <r>
      <rPr>
        <vertAlign val="super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K]</t>
    </r>
  </si>
  <si>
    <r>
      <t>H'</t>
    </r>
    <r>
      <rPr>
        <vertAlign val="subscript"/>
        <sz val="11"/>
        <color theme="1"/>
        <rFont val="Times New Roman"/>
        <family val="1"/>
      </rPr>
      <t>Tmax</t>
    </r>
    <r>
      <rPr>
        <sz val="11"/>
        <color theme="1"/>
        <rFont val="Times New Roman"/>
        <family val="1"/>
      </rPr>
      <t xml:space="preserve"> [W/m</t>
    </r>
    <r>
      <rPr>
        <vertAlign val="super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K]</t>
    </r>
  </si>
  <si>
    <r>
      <t>n [h</t>
    </r>
    <r>
      <rPr>
        <vertAlign val="superscript"/>
        <sz val="11"/>
        <color theme="1"/>
        <rFont val="Times New Roman"/>
        <family val="1"/>
      </rPr>
      <t>-1</t>
    </r>
    <r>
      <rPr>
        <sz val="11"/>
        <color theme="1"/>
        <rFont val="Times New Roman"/>
        <family val="1"/>
      </rPr>
      <t>]</t>
    </r>
  </si>
  <si>
    <r>
      <t>H</t>
    </r>
    <r>
      <rPr>
        <vertAlign val="subscript"/>
        <sz val="11"/>
        <color theme="1"/>
        <rFont val="Times New Roman"/>
        <family val="1"/>
      </rPr>
      <t>V</t>
    </r>
    <r>
      <rPr>
        <sz val="11"/>
        <color theme="1"/>
        <rFont val="Times New Roman"/>
        <family val="1"/>
      </rPr>
      <t xml:space="preserve"> [W/K]</t>
    </r>
  </si>
  <si>
    <r>
      <t>H</t>
    </r>
    <r>
      <rPr>
        <vertAlign val="subscript"/>
        <sz val="11"/>
        <color theme="1"/>
        <rFont val="Times New Roman"/>
        <family val="1"/>
      </rPr>
      <t>V</t>
    </r>
    <r>
      <rPr>
        <sz val="11"/>
        <color theme="1"/>
        <rFont val="Times New Roman"/>
        <family val="1"/>
      </rPr>
      <t xml:space="preserve"> [kW/K]</t>
    </r>
  </si>
  <si>
    <r>
      <t>Φ</t>
    </r>
    <r>
      <rPr>
        <vertAlign val="subscript"/>
        <sz val="11"/>
        <color theme="1"/>
        <rFont val="Times New Roman"/>
        <family val="1"/>
      </rPr>
      <t xml:space="preserve">Т </t>
    </r>
    <r>
      <rPr>
        <sz val="11"/>
        <color theme="1"/>
        <rFont val="Times New Roman"/>
        <family val="1"/>
      </rPr>
      <t>[W]</t>
    </r>
  </si>
  <si>
    <r>
      <t>Φ</t>
    </r>
    <r>
      <rPr>
        <vertAlign val="subscript"/>
        <sz val="11"/>
        <color theme="1"/>
        <rFont val="Times New Roman"/>
        <family val="1"/>
      </rPr>
      <t xml:space="preserve">Т </t>
    </r>
    <r>
      <rPr>
        <sz val="11"/>
        <color theme="1"/>
        <rFont val="Times New Roman"/>
        <family val="1"/>
      </rPr>
      <t>[kW]</t>
    </r>
  </si>
  <si>
    <r>
      <t>Φ</t>
    </r>
    <r>
      <rPr>
        <vertAlign val="subscript"/>
        <sz val="11"/>
        <color theme="1"/>
        <rFont val="Times New Roman"/>
        <family val="1"/>
      </rPr>
      <t xml:space="preserve">V </t>
    </r>
    <r>
      <rPr>
        <sz val="11"/>
        <color theme="1"/>
        <rFont val="Times New Roman"/>
        <family val="1"/>
      </rPr>
      <t>[W]</t>
    </r>
  </si>
  <si>
    <r>
      <t>H</t>
    </r>
    <r>
      <rPr>
        <sz val="8"/>
        <color theme="1"/>
        <rFont val="Times New Roman"/>
        <family val="1"/>
      </rPr>
      <t>t</t>
    </r>
    <r>
      <rPr>
        <sz val="11"/>
        <color theme="1"/>
        <rFont val="Times New Roman"/>
        <family val="1"/>
      </rPr>
      <t xml:space="preserve"> + H</t>
    </r>
    <r>
      <rPr>
        <sz val="8"/>
        <color theme="1"/>
        <rFont val="Times New Roman"/>
        <family val="1"/>
      </rPr>
      <t>v</t>
    </r>
  </si>
  <si>
    <r>
      <t>Q</t>
    </r>
    <r>
      <rPr>
        <sz val="8"/>
        <color theme="1"/>
        <rFont val="Times New Roman"/>
        <family val="1"/>
      </rPr>
      <t>H,ht</t>
    </r>
  </si>
  <si>
    <r>
      <t>Φ</t>
    </r>
    <r>
      <rPr>
        <vertAlign val="subscript"/>
        <sz val="11"/>
        <color theme="1"/>
        <rFont val="Times New Roman"/>
        <family val="1"/>
      </rPr>
      <t xml:space="preserve">V </t>
    </r>
    <r>
      <rPr>
        <sz val="11"/>
        <color theme="1"/>
        <rFont val="Times New Roman"/>
        <family val="1"/>
      </rPr>
      <t>[kW]</t>
    </r>
  </si>
  <si>
    <r>
      <t>Φ</t>
    </r>
    <r>
      <rPr>
        <vertAlign val="subscript"/>
        <sz val="11"/>
        <color theme="1"/>
        <rFont val="Times New Roman"/>
        <family val="1"/>
      </rPr>
      <t xml:space="preserve">uk </t>
    </r>
    <r>
      <rPr>
        <sz val="11"/>
        <color theme="1"/>
        <rFont val="Times New Roman"/>
        <family val="1"/>
      </rPr>
      <t>[W]</t>
    </r>
  </si>
  <si>
    <r>
      <t>Φ</t>
    </r>
    <r>
      <rPr>
        <vertAlign val="subscript"/>
        <sz val="11"/>
        <color theme="1"/>
        <rFont val="Times New Roman"/>
        <family val="1"/>
      </rPr>
      <t>uk</t>
    </r>
    <r>
      <rPr>
        <sz val="11"/>
        <color theme="1"/>
        <rFont val="Times New Roman"/>
        <family val="1"/>
      </rPr>
      <t>[kW]</t>
    </r>
  </si>
  <si>
    <r>
      <t>A</t>
    </r>
    <r>
      <rPr>
        <vertAlign val="subscript"/>
        <sz val="11"/>
        <color theme="1"/>
        <rFont val="Times New Roman"/>
        <family val="1"/>
      </rPr>
      <t xml:space="preserve"> </t>
    </r>
    <r>
      <rPr>
        <sz val="11"/>
        <color theme="1"/>
        <rFont val="Times New Roman"/>
        <family val="1"/>
      </rPr>
      <t>[m</t>
    </r>
    <r>
      <rPr>
        <vertAlign val="super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]</t>
    </r>
  </si>
  <si>
    <r>
      <t>Фактор проп. Сунчевог зрачења за стакло g,</t>
    </r>
    <r>
      <rPr>
        <vertAlign val="subscript"/>
        <sz val="11"/>
        <color theme="1"/>
        <rFont val="Times New Roman"/>
        <family val="1"/>
      </rPr>
      <t>gl</t>
    </r>
  </si>
  <si>
    <r>
      <t>Емисивност спољне површине зида α</t>
    </r>
    <r>
      <rPr>
        <vertAlign val="subscript"/>
        <sz val="11"/>
        <color theme="1"/>
        <rFont val="Times New Roman"/>
        <family val="1"/>
      </rPr>
      <t>sc</t>
    </r>
  </si>
  <si>
    <r>
      <t>Отпор прелазу топлоте за спољну страну зида R</t>
    </r>
    <r>
      <rPr>
        <vertAlign val="subscript"/>
        <sz val="11"/>
        <color theme="1"/>
        <rFont val="Times New Roman"/>
        <family val="1"/>
      </rPr>
      <t>s,c</t>
    </r>
  </si>
  <si>
    <r>
      <t>m</t>
    </r>
    <r>
      <rPr>
        <vertAlign val="superscript"/>
        <sz val="11"/>
        <color theme="1"/>
        <rFont val="Times New Roman"/>
        <family val="1"/>
      </rPr>
      <t>2</t>
    </r>
  </si>
  <si>
    <r>
      <t>kWh/m</t>
    </r>
    <r>
      <rPr>
        <vertAlign val="superscript"/>
        <sz val="11"/>
        <color theme="1"/>
        <rFont val="Times New Roman"/>
        <family val="1"/>
      </rPr>
      <t>2</t>
    </r>
  </si>
  <si>
    <r>
      <t xml:space="preserve">Годишња количина топлоте која потиче од добитака топлоте услед Сунчевог зрачења кроз </t>
    </r>
    <r>
      <rPr>
        <b/>
        <sz val="11"/>
        <color theme="1"/>
        <rFont val="Times New Roman"/>
        <family val="1"/>
      </rPr>
      <t>нетранспарентне</t>
    </r>
    <r>
      <rPr>
        <sz val="11"/>
        <color theme="1"/>
        <rFont val="Times New Roman"/>
        <family val="1"/>
      </rPr>
      <t xml:space="preserve"> површине</t>
    </r>
  </si>
  <si>
    <r>
      <t xml:space="preserve">Годишња количина топлоте која потиче од добитака топлоте услед Сунчевог зрачења кроз </t>
    </r>
    <r>
      <rPr>
        <b/>
        <sz val="11"/>
        <color theme="1"/>
        <rFont val="Times New Roman"/>
        <family val="1"/>
      </rPr>
      <t>транспарентне</t>
    </r>
    <r>
      <rPr>
        <sz val="11"/>
        <color theme="1"/>
        <rFont val="Times New Roman"/>
        <family val="1"/>
      </rPr>
      <t xml:space="preserve"> површине</t>
    </r>
  </si>
  <si>
    <r>
      <t>q</t>
    </r>
    <r>
      <rPr>
        <vertAlign val="subscript"/>
        <sz val="8"/>
        <color theme="1"/>
        <rFont val="Times New Roman"/>
        <family val="1"/>
      </rPr>
      <t>p</t>
    </r>
  </si>
  <si>
    <r>
      <t>A</t>
    </r>
    <r>
      <rPr>
        <vertAlign val="subscript"/>
        <sz val="11"/>
        <color theme="1"/>
        <rFont val="Times New Roman"/>
        <family val="1"/>
      </rPr>
      <t>f</t>
    </r>
  </si>
  <si>
    <r>
      <t>n</t>
    </r>
    <r>
      <rPr>
        <vertAlign val="subscript"/>
        <sz val="11"/>
        <color theme="1"/>
        <rFont val="Times New Roman"/>
        <family val="1"/>
      </rPr>
      <t>dana</t>
    </r>
  </si>
  <si>
    <r>
      <t>n</t>
    </r>
    <r>
      <rPr>
        <vertAlign val="subscript"/>
        <sz val="11"/>
        <color theme="1"/>
        <rFont val="Times New Roman"/>
        <family val="1"/>
      </rPr>
      <t>sati</t>
    </r>
  </si>
  <si>
    <r>
      <t>Q</t>
    </r>
    <r>
      <rPr>
        <vertAlign val="subscript"/>
        <sz val="11"/>
        <color theme="1"/>
        <rFont val="Times New Roman"/>
        <family val="1"/>
      </rPr>
      <t>lj</t>
    </r>
  </si>
  <si>
    <r>
      <t>q</t>
    </r>
    <r>
      <rPr>
        <vertAlign val="subscript"/>
        <sz val="8"/>
        <color theme="1"/>
        <rFont val="Times New Roman"/>
        <family val="1"/>
      </rPr>
      <t>el</t>
    </r>
  </si>
  <si>
    <r>
      <t>n</t>
    </r>
    <r>
      <rPr>
        <vertAlign val="subscript"/>
        <sz val="11"/>
        <color theme="1"/>
        <rFont val="Times New Roman"/>
        <family val="1"/>
      </rPr>
      <t>dana,godi</t>
    </r>
  </si>
  <si>
    <r>
      <t>Q</t>
    </r>
    <r>
      <rPr>
        <vertAlign val="subscript"/>
        <sz val="11"/>
        <color theme="1"/>
        <rFont val="Times New Roman"/>
        <family val="1"/>
      </rPr>
      <t>el</t>
    </r>
  </si>
  <si>
    <r>
      <t>Q</t>
    </r>
    <r>
      <rPr>
        <b/>
        <vertAlign val="subscript"/>
        <sz val="12"/>
        <color theme="1"/>
        <rFont val="Times New Roman"/>
        <family val="1"/>
      </rPr>
      <t>H,ht</t>
    </r>
  </si>
  <si>
    <r>
      <t>Q</t>
    </r>
    <r>
      <rPr>
        <b/>
        <vertAlign val="subscript"/>
        <sz val="12"/>
        <color theme="1"/>
        <rFont val="Times New Roman"/>
        <family val="1"/>
      </rPr>
      <t>sol, gl</t>
    </r>
  </si>
  <si>
    <r>
      <t>Q</t>
    </r>
    <r>
      <rPr>
        <b/>
        <vertAlign val="subscript"/>
        <sz val="12"/>
        <color theme="1"/>
        <rFont val="Times New Roman"/>
        <family val="1"/>
      </rPr>
      <t>sol,c</t>
    </r>
  </si>
  <si>
    <r>
      <t>Q</t>
    </r>
    <r>
      <rPr>
        <b/>
        <vertAlign val="subscript"/>
        <sz val="12"/>
        <color theme="1"/>
        <rFont val="Times New Roman"/>
        <family val="1"/>
      </rPr>
      <t>sol</t>
    </r>
  </si>
  <si>
    <r>
      <t>Q</t>
    </r>
    <r>
      <rPr>
        <b/>
        <vertAlign val="subscript"/>
        <sz val="12"/>
        <color theme="1"/>
        <rFont val="Times New Roman"/>
        <family val="1"/>
      </rPr>
      <t>lj</t>
    </r>
  </si>
  <si>
    <r>
      <t>Q</t>
    </r>
    <r>
      <rPr>
        <b/>
        <vertAlign val="subscript"/>
        <sz val="12"/>
        <color theme="1"/>
        <rFont val="Times New Roman"/>
        <family val="1"/>
      </rPr>
      <t>el</t>
    </r>
  </si>
  <si>
    <r>
      <t>Q</t>
    </r>
    <r>
      <rPr>
        <b/>
        <vertAlign val="subscript"/>
        <sz val="12"/>
        <color theme="1"/>
        <rFont val="Times New Roman"/>
        <family val="1"/>
      </rPr>
      <t>int</t>
    </r>
  </si>
  <si>
    <r>
      <t>Q</t>
    </r>
    <r>
      <rPr>
        <b/>
        <vertAlign val="subscript"/>
        <sz val="12"/>
        <color theme="1"/>
        <rFont val="Times New Roman"/>
        <family val="1"/>
      </rPr>
      <t>H,gn</t>
    </r>
  </si>
  <si>
    <r>
      <t>Q</t>
    </r>
    <r>
      <rPr>
        <b/>
        <vertAlign val="subscript"/>
        <sz val="12"/>
        <color theme="1"/>
        <rFont val="Times New Roman"/>
        <family val="1"/>
      </rPr>
      <t>H,nd</t>
    </r>
  </si>
  <si>
    <r>
      <t>q</t>
    </r>
    <r>
      <rPr>
        <vertAlign val="subscript"/>
        <sz val="11"/>
        <color theme="1"/>
        <rFont val="Times New Roman"/>
        <family val="1"/>
      </rPr>
      <t>H,nd</t>
    </r>
  </si>
  <si>
    <r>
      <t>Q</t>
    </r>
    <r>
      <rPr>
        <vertAlign val="subscript"/>
        <sz val="11"/>
        <color theme="1"/>
        <rFont val="Times New Roman"/>
        <family val="1"/>
      </rPr>
      <t>H,gn</t>
    </r>
    <r>
      <rPr>
        <sz val="11"/>
        <color theme="1"/>
        <rFont val="Times New Roman"/>
        <family val="1"/>
      </rPr>
      <t xml:space="preserve"> [kWh]</t>
    </r>
  </si>
  <si>
    <r>
      <t>η</t>
    </r>
    <r>
      <rPr>
        <vertAlign val="subscript"/>
        <sz val="11"/>
        <color theme="1"/>
        <rFont val="Times New Roman"/>
        <family val="1"/>
      </rPr>
      <t>H</t>
    </r>
  </si>
  <si>
    <r>
      <t>Q</t>
    </r>
    <r>
      <rPr>
        <vertAlign val="subscript"/>
        <sz val="11"/>
        <color theme="1"/>
        <rFont val="Times New Roman"/>
        <family val="1"/>
      </rPr>
      <t>H,nd</t>
    </r>
    <r>
      <rPr>
        <sz val="11"/>
        <color theme="1"/>
        <rFont val="Times New Roman"/>
        <family val="1"/>
      </rPr>
      <t xml:space="preserve"> [kWh/a]</t>
    </r>
  </si>
  <si>
    <r>
      <t>η</t>
    </r>
    <r>
      <rPr>
        <vertAlign val="subscript"/>
        <sz val="11"/>
        <color theme="1"/>
        <rFont val="Times New Roman"/>
        <family val="1"/>
      </rPr>
      <t>K</t>
    </r>
  </si>
  <si>
    <r>
      <t>η</t>
    </r>
    <r>
      <rPr>
        <vertAlign val="subscript"/>
        <sz val="11"/>
        <color theme="1"/>
        <rFont val="Times New Roman"/>
        <family val="1"/>
      </rPr>
      <t>C</t>
    </r>
  </si>
  <si>
    <r>
      <t>η</t>
    </r>
    <r>
      <rPr>
        <vertAlign val="subscript"/>
        <sz val="11"/>
        <color theme="1"/>
        <rFont val="Times New Roman"/>
        <family val="1"/>
      </rPr>
      <t>R</t>
    </r>
  </si>
  <si>
    <r>
      <t>Q</t>
    </r>
    <r>
      <rPr>
        <vertAlign val="subscript"/>
        <sz val="11"/>
        <color theme="1"/>
        <rFont val="Times New Roman"/>
        <family val="1"/>
      </rPr>
      <t>H,nd,ls</t>
    </r>
    <r>
      <rPr>
        <sz val="11"/>
        <color theme="1"/>
        <rFont val="Times New Roman"/>
        <family val="1"/>
      </rPr>
      <t xml:space="preserve"> [kWh/a]</t>
    </r>
  </si>
  <si>
    <r>
      <t>q</t>
    </r>
    <r>
      <rPr>
        <vertAlign val="subscript"/>
        <sz val="11"/>
        <color theme="1"/>
        <rFont val="Times New Roman"/>
        <family val="1"/>
      </rPr>
      <t>H,nd,ls</t>
    </r>
    <r>
      <rPr>
        <sz val="11"/>
        <color theme="1"/>
        <rFont val="Times New Roman"/>
        <family val="1"/>
      </rPr>
      <t xml:space="preserve"> [kWh/m</t>
    </r>
    <r>
      <rPr>
        <vertAlign val="super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a]</t>
    </r>
  </si>
  <si>
    <r>
      <t>Q</t>
    </r>
    <r>
      <rPr>
        <vertAlign val="subscript"/>
        <sz val="11"/>
        <color theme="1"/>
        <rFont val="Times New Roman"/>
        <family val="1"/>
      </rPr>
      <t>H,del</t>
    </r>
    <r>
      <rPr>
        <sz val="11"/>
        <color theme="1"/>
        <rFont val="Times New Roman"/>
        <family val="1"/>
      </rPr>
      <t xml:space="preserve"> [kWh/a]</t>
    </r>
  </si>
  <si>
    <r>
      <t>q</t>
    </r>
    <r>
      <rPr>
        <vertAlign val="subscript"/>
        <sz val="11"/>
        <color theme="1"/>
        <rFont val="Times New Roman"/>
        <family val="1"/>
      </rPr>
      <t>w</t>
    </r>
  </si>
  <si>
    <r>
      <t>Q</t>
    </r>
    <r>
      <rPr>
        <vertAlign val="subscript"/>
        <sz val="11"/>
        <color theme="1"/>
        <rFont val="Times New Roman"/>
        <family val="1"/>
      </rPr>
      <t>w</t>
    </r>
  </si>
  <si>
    <r>
      <t>Q</t>
    </r>
    <r>
      <rPr>
        <vertAlign val="subscript"/>
        <sz val="11"/>
        <color theme="1"/>
        <rFont val="Times New Roman"/>
        <family val="1"/>
      </rPr>
      <t>w,ls</t>
    </r>
  </si>
  <si>
    <r>
      <t>Q</t>
    </r>
    <r>
      <rPr>
        <vertAlign val="subscript"/>
        <sz val="11"/>
        <color theme="1"/>
        <rFont val="Times New Roman"/>
        <family val="1"/>
      </rPr>
      <t>w,del</t>
    </r>
  </si>
  <si>
    <r>
      <t>q</t>
    </r>
    <r>
      <rPr>
        <vertAlign val="subscript"/>
        <sz val="11"/>
        <color theme="1"/>
        <rFont val="Times New Roman"/>
        <family val="1"/>
      </rPr>
      <t>w,del</t>
    </r>
  </si>
  <si>
    <r>
      <t>q</t>
    </r>
    <r>
      <rPr>
        <vertAlign val="subscript"/>
        <sz val="11"/>
        <color theme="1"/>
        <rFont val="Times New Roman"/>
        <family val="1"/>
      </rPr>
      <t>W</t>
    </r>
  </si>
  <si>
    <r>
      <t>[m</t>
    </r>
    <r>
      <rPr>
        <vertAlign val="super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]</t>
    </r>
  </si>
  <si>
    <r>
      <t>[kWh/m</t>
    </r>
    <r>
      <rPr>
        <vertAlign val="super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]</t>
    </r>
  </si>
  <si>
    <r>
      <t>[kWh/m</t>
    </r>
    <r>
      <rPr>
        <vertAlign val="super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a]</t>
    </r>
  </si>
  <si>
    <r>
      <t>kWh/m</t>
    </r>
    <r>
      <rPr>
        <vertAlign val="super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a</t>
    </r>
  </si>
  <si>
    <r>
      <t>Q</t>
    </r>
    <r>
      <rPr>
        <vertAlign val="subscript"/>
        <sz val="11"/>
        <color theme="1"/>
        <rFont val="Times New Roman"/>
        <family val="1"/>
      </rPr>
      <t>aux</t>
    </r>
  </si>
  <si>
    <r>
      <t>Q</t>
    </r>
    <r>
      <rPr>
        <vertAlign val="subscript"/>
        <sz val="11"/>
        <color theme="1"/>
        <rFont val="Times New Roman"/>
        <family val="1"/>
      </rPr>
      <t>W,del</t>
    </r>
  </si>
  <si>
    <r>
      <t>Q</t>
    </r>
    <r>
      <rPr>
        <vertAlign val="subscript"/>
        <sz val="11"/>
        <color theme="1"/>
        <rFont val="Times New Roman"/>
        <family val="1"/>
      </rPr>
      <t>H,del</t>
    </r>
  </si>
  <si>
    <r>
      <t>f</t>
    </r>
    <r>
      <rPr>
        <vertAlign val="subscript"/>
        <sz val="11"/>
        <color theme="1"/>
        <rFont val="Times New Roman"/>
        <family val="1"/>
      </rPr>
      <t>el</t>
    </r>
  </si>
  <si>
    <r>
      <t>f</t>
    </r>
    <r>
      <rPr>
        <vertAlign val="subscript"/>
        <sz val="11"/>
        <color theme="1"/>
        <rFont val="Times New Roman"/>
        <family val="1"/>
      </rPr>
      <t>nd</t>
    </r>
  </si>
  <si>
    <r>
      <t>E</t>
    </r>
    <r>
      <rPr>
        <vertAlign val="subscript"/>
        <sz val="11"/>
        <color theme="1"/>
        <rFont val="Times New Roman"/>
        <family val="1"/>
      </rPr>
      <t>prim</t>
    </r>
  </si>
  <si>
    <r>
      <t>e</t>
    </r>
    <r>
      <rPr>
        <vertAlign val="subscript"/>
        <sz val="11"/>
        <color theme="1"/>
        <rFont val="Times New Roman"/>
        <family val="1"/>
      </rPr>
      <t>prim</t>
    </r>
  </si>
  <si>
    <r>
      <t>Emisija CO</t>
    </r>
    <r>
      <rPr>
        <vertAlign val="subscript"/>
        <sz val="11"/>
        <color theme="1"/>
        <rFont val="Times New Roman"/>
        <family val="1"/>
      </rPr>
      <t>2</t>
    </r>
  </si>
  <si>
    <r>
      <t>f</t>
    </r>
    <r>
      <rPr>
        <vertAlign val="subscript"/>
        <sz val="11"/>
        <color theme="1"/>
        <rFont val="Times New Roman"/>
        <family val="1"/>
      </rPr>
      <t>co2,nd</t>
    </r>
  </si>
  <si>
    <r>
      <t>f</t>
    </r>
    <r>
      <rPr>
        <vertAlign val="subscript"/>
        <sz val="11"/>
        <color theme="1"/>
        <rFont val="Times New Roman"/>
        <family val="1"/>
      </rPr>
      <t>co2,el</t>
    </r>
  </si>
  <si>
    <r>
      <t>E</t>
    </r>
    <r>
      <rPr>
        <vertAlign val="subscript"/>
        <sz val="11"/>
        <color theme="1"/>
        <rFont val="Times New Roman"/>
        <family val="1"/>
      </rPr>
      <t>prim,nd</t>
    </r>
  </si>
  <si>
    <r>
      <t>E</t>
    </r>
    <r>
      <rPr>
        <vertAlign val="subscript"/>
        <sz val="11"/>
        <color theme="1"/>
        <rFont val="Times New Roman"/>
        <family val="1"/>
      </rPr>
      <t>prim,W</t>
    </r>
  </si>
  <si>
    <r>
      <t>(E</t>
    </r>
    <r>
      <rPr>
        <vertAlign val="subscript"/>
        <sz val="12"/>
        <color theme="1"/>
        <rFont val="Times New Roman"/>
        <family val="1"/>
      </rPr>
      <t>prim,el</t>
    </r>
    <r>
      <rPr>
        <sz val="12"/>
        <color theme="1"/>
        <rFont val="Times New Roman"/>
        <family val="1"/>
      </rPr>
      <t>+E</t>
    </r>
    <r>
      <rPr>
        <vertAlign val="subscript"/>
        <sz val="12"/>
        <color theme="1"/>
        <rFont val="Times New Roman"/>
        <family val="1"/>
      </rPr>
      <t>prim,aux</t>
    </r>
    <r>
      <rPr>
        <sz val="12"/>
        <color theme="1"/>
        <rFont val="Times New Roman"/>
        <family val="1"/>
      </rPr>
      <t>)</t>
    </r>
  </si>
  <si>
    <r>
      <t>CO</t>
    </r>
    <r>
      <rPr>
        <vertAlign val="subscript"/>
        <sz val="11"/>
        <color theme="1"/>
        <rFont val="Times New Roman"/>
        <family val="1"/>
      </rPr>
      <t xml:space="preserve">2  </t>
    </r>
    <r>
      <rPr>
        <sz val="11"/>
        <color theme="1"/>
        <rFont val="Times New Roman"/>
        <family val="1"/>
      </rPr>
      <t>[kg/a]</t>
    </r>
  </si>
  <si>
    <r>
      <t>CO</t>
    </r>
    <r>
      <rPr>
        <vertAlign val="subscript"/>
        <sz val="11"/>
        <color theme="1"/>
        <rFont val="Times New Roman"/>
        <family val="1"/>
      </rPr>
      <t>2</t>
    </r>
    <r>
      <rPr>
        <vertAlign val="superscript"/>
        <sz val="11"/>
        <color theme="1"/>
        <rFont val="Times New Roman"/>
        <family val="1"/>
      </rPr>
      <t xml:space="preserve">*  </t>
    </r>
    <r>
      <rPr>
        <sz val="11"/>
        <color theme="1"/>
        <rFont val="Times New Roman"/>
        <family val="1"/>
      </rPr>
      <t>[kg/m</t>
    </r>
    <r>
      <rPr>
        <vertAlign val="super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a]</t>
    </r>
  </si>
  <si>
    <r>
      <t>q</t>
    </r>
    <r>
      <rPr>
        <vertAlign val="subscript"/>
        <sz val="11"/>
        <color theme="1"/>
        <rFont val="Times New Roman"/>
        <family val="1"/>
      </rPr>
      <t>H,nd</t>
    </r>
    <r>
      <rPr>
        <sz val="11"/>
        <color theme="1"/>
        <rFont val="Times New Roman"/>
        <family val="1"/>
      </rPr>
      <t xml:space="preserve"> [kWh/m</t>
    </r>
    <r>
      <rPr>
        <vertAlign val="super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a]</t>
    </r>
  </si>
  <si>
    <r>
      <t>q</t>
    </r>
    <r>
      <rPr>
        <vertAlign val="subscript"/>
        <sz val="11"/>
        <color theme="1"/>
        <rFont val="Times New Roman"/>
        <family val="1"/>
      </rPr>
      <t>H,nd,max</t>
    </r>
    <r>
      <rPr>
        <sz val="11"/>
        <color theme="1"/>
        <rFont val="Times New Roman"/>
        <family val="1"/>
      </rPr>
      <t xml:space="preserve"> [kWh/m</t>
    </r>
    <r>
      <rPr>
        <vertAlign val="super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a]</t>
    </r>
  </si>
  <si>
    <r>
      <t>q</t>
    </r>
    <r>
      <rPr>
        <vertAlign val="subscript"/>
        <sz val="11"/>
        <color theme="1"/>
        <rFont val="Times New Roman"/>
        <family val="1"/>
      </rPr>
      <t>H,nd,rel</t>
    </r>
    <r>
      <rPr>
        <sz val="11"/>
        <color theme="1"/>
        <rFont val="Times New Roman"/>
        <family val="1"/>
      </rPr>
      <t xml:space="preserve"> [kWh/m</t>
    </r>
    <r>
      <rPr>
        <vertAlign val="super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a]</t>
    </r>
  </si>
  <si>
    <r>
      <t>g,</t>
    </r>
    <r>
      <rPr>
        <vertAlign val="subscript"/>
        <sz val="9"/>
        <color theme="1"/>
        <rFont val="Times New Roman"/>
        <family val="1"/>
      </rPr>
      <t>gl</t>
    </r>
  </si>
  <si>
    <r>
      <t>F</t>
    </r>
    <r>
      <rPr>
        <vertAlign val="subscript"/>
        <sz val="9"/>
        <color theme="1"/>
        <rFont val="Times New Roman"/>
        <family val="1"/>
      </rPr>
      <t>fr</t>
    </r>
  </si>
  <si>
    <r>
      <t>A</t>
    </r>
    <r>
      <rPr>
        <vertAlign val="subscript"/>
        <sz val="9"/>
        <color theme="1"/>
        <rFont val="Times New Roman"/>
        <family val="1"/>
      </rPr>
      <t>sol</t>
    </r>
  </si>
  <si>
    <r>
      <t>I</t>
    </r>
    <r>
      <rPr>
        <vertAlign val="subscript"/>
        <sz val="9"/>
        <color theme="1"/>
        <rFont val="Times New Roman"/>
        <family val="1"/>
      </rPr>
      <t>sol</t>
    </r>
    <r>
      <rPr>
        <sz val="9"/>
        <color theme="1"/>
        <rFont val="Times New Roman"/>
        <family val="1"/>
      </rPr>
      <t>∙τ</t>
    </r>
    <r>
      <rPr>
        <vertAlign val="subscript"/>
        <sz val="9"/>
        <color theme="1"/>
        <rFont val="Times New Roman"/>
        <family val="1"/>
      </rPr>
      <t>sol</t>
    </r>
  </si>
  <si>
    <r>
      <t>F</t>
    </r>
    <r>
      <rPr>
        <vertAlign val="subscript"/>
        <sz val="9"/>
        <color theme="1"/>
        <rFont val="Times New Roman"/>
        <family val="1"/>
      </rPr>
      <t>sh</t>
    </r>
  </si>
  <si>
    <r>
      <t>Q</t>
    </r>
    <r>
      <rPr>
        <vertAlign val="subscript"/>
        <sz val="9"/>
        <color theme="1"/>
        <rFont val="Times New Roman"/>
        <family val="1"/>
      </rPr>
      <t>sol,gl</t>
    </r>
  </si>
  <si>
    <r>
      <t>m</t>
    </r>
    <r>
      <rPr>
        <vertAlign val="superscript"/>
        <sz val="9"/>
        <color theme="1"/>
        <rFont val="Times New Roman"/>
        <family val="1"/>
      </rPr>
      <t>2</t>
    </r>
  </si>
  <si>
    <r>
      <t>kWh/m</t>
    </r>
    <r>
      <rPr>
        <vertAlign val="superscript"/>
        <sz val="9"/>
        <color theme="1"/>
        <rFont val="Times New Roman"/>
        <family val="1"/>
      </rPr>
      <t>2</t>
    </r>
  </si>
  <si>
    <r>
      <t>A</t>
    </r>
    <r>
      <rPr>
        <vertAlign val="subscript"/>
        <sz val="11"/>
        <rFont val="Times New Roman"/>
        <family val="1"/>
      </rPr>
      <t>c</t>
    </r>
  </si>
  <si>
    <r>
      <t>α</t>
    </r>
    <r>
      <rPr>
        <vertAlign val="subscript"/>
        <sz val="11"/>
        <rFont val="Times New Roman"/>
        <family val="1"/>
      </rPr>
      <t>sc</t>
    </r>
  </si>
  <si>
    <r>
      <t>R</t>
    </r>
    <r>
      <rPr>
        <vertAlign val="subscript"/>
        <sz val="11"/>
        <rFont val="Times New Roman"/>
        <family val="1"/>
      </rPr>
      <t>sc</t>
    </r>
  </si>
  <si>
    <r>
      <t>U</t>
    </r>
    <r>
      <rPr>
        <vertAlign val="subscript"/>
        <sz val="11"/>
        <rFont val="Times New Roman"/>
        <family val="1"/>
      </rPr>
      <t>c</t>
    </r>
  </si>
  <si>
    <r>
      <t>A</t>
    </r>
    <r>
      <rPr>
        <vertAlign val="subscript"/>
        <sz val="11"/>
        <rFont val="Times New Roman"/>
        <family val="1"/>
      </rPr>
      <t>sol,c</t>
    </r>
  </si>
  <si>
    <r>
      <t>I</t>
    </r>
    <r>
      <rPr>
        <vertAlign val="subscript"/>
        <sz val="11"/>
        <rFont val="Times New Roman"/>
        <family val="1"/>
      </rPr>
      <t>sol</t>
    </r>
    <r>
      <rPr>
        <sz val="11"/>
        <rFont val="Times New Roman"/>
        <family val="1"/>
      </rPr>
      <t>∙τ</t>
    </r>
    <r>
      <rPr>
        <vertAlign val="subscript"/>
        <sz val="11"/>
        <rFont val="Times New Roman"/>
        <family val="1"/>
      </rPr>
      <t>sol</t>
    </r>
  </si>
  <si>
    <r>
      <t>F</t>
    </r>
    <r>
      <rPr>
        <vertAlign val="subscript"/>
        <sz val="11"/>
        <rFont val="Times New Roman"/>
        <family val="1"/>
      </rPr>
      <t>sh</t>
    </r>
  </si>
  <si>
    <r>
      <t>Q</t>
    </r>
    <r>
      <rPr>
        <vertAlign val="subscript"/>
        <sz val="11"/>
        <rFont val="Times New Roman"/>
        <family val="1"/>
      </rPr>
      <t>sol,c</t>
    </r>
  </si>
  <si>
    <r>
      <t>m</t>
    </r>
    <r>
      <rPr>
        <vertAlign val="superscript"/>
        <sz val="11"/>
        <rFont val="Times New Roman"/>
        <family val="1"/>
      </rPr>
      <t>2</t>
    </r>
  </si>
  <si>
    <r>
      <t>W/m</t>
    </r>
    <r>
      <rPr>
        <vertAlign val="superscript"/>
        <sz val="11"/>
        <rFont val="Times New Roman"/>
        <family val="1"/>
      </rPr>
      <t>2</t>
    </r>
  </si>
  <si>
    <r>
      <t>kWh/m</t>
    </r>
    <r>
      <rPr>
        <vertAlign val="superscript"/>
        <sz val="11"/>
        <rFont val="Times New Roman"/>
        <family val="1"/>
      </rPr>
      <t>2</t>
    </r>
  </si>
  <si>
    <r>
      <t xml:space="preserve"> Q</t>
    </r>
    <r>
      <rPr>
        <vertAlign val="subscript"/>
        <sz val="11"/>
        <color theme="1"/>
        <rFont val="Times New Roman"/>
        <family val="1"/>
      </rPr>
      <t xml:space="preserve">H </t>
    </r>
  </si>
  <si>
    <t xml:space="preserve">Годишња потребна топлотна енергија  </t>
  </si>
  <si>
    <t xml:space="preserve">Годишња испоручена енергија </t>
  </si>
  <si>
    <t>Edel</t>
  </si>
  <si>
    <t xml:space="preserve">Proracun difuzije vodene pare </t>
  </si>
  <si>
    <t>tsp</t>
  </si>
  <si>
    <t>Tip</t>
  </si>
  <si>
    <t>br dana</t>
  </si>
  <si>
    <t>Period isusenja</t>
  </si>
  <si>
    <t>Gustina difuznog fluksa</t>
  </si>
  <si>
    <t>pozicija</t>
  </si>
  <si>
    <t>sloj materije</t>
  </si>
  <si>
    <t>δ</t>
  </si>
  <si>
    <t>Ri</t>
  </si>
  <si>
    <t>Δθdif</t>
  </si>
  <si>
    <t>θdif</t>
  </si>
  <si>
    <t>𝑞𝑑𝑖𝑓</t>
  </si>
  <si>
    <t>unutra</t>
  </si>
  <si>
    <t>prelaz</t>
  </si>
  <si>
    <t>spolja</t>
  </si>
  <si>
    <t>SUMA</t>
  </si>
  <si>
    <t>Pozicija</t>
  </si>
  <si>
    <t>μ</t>
  </si>
  <si>
    <t>p` [kPa]</t>
  </si>
  <si>
    <t>rn</t>
  </si>
  <si>
    <t>p'</t>
  </si>
  <si>
    <t xml:space="preserve"> </t>
  </si>
  <si>
    <t>Parcijalni pritisci vodene pare</t>
  </si>
  <si>
    <t>𝑝𝑖𝑛𝑡</t>
  </si>
  <si>
    <t>𝑝𝑒𝑥𝑡</t>
  </si>
  <si>
    <t>A</t>
  </si>
  <si>
    <t>кречни малтер</t>
  </si>
  <si>
    <t>опека (шупља)</t>
  </si>
  <si>
    <t>цементни малтер</t>
  </si>
  <si>
    <t xml:space="preserve"> фасадна цигла</t>
  </si>
  <si>
    <t>Gustina difuzije vodne pare</t>
  </si>
  <si>
    <t>qm1</t>
  </si>
  <si>
    <t>na ulazu</t>
  </si>
  <si>
    <t>qm2</t>
  </si>
  <si>
    <t>izlaz</t>
  </si>
  <si>
    <t>UKUPNA KOLICINA KONDENZATA</t>
  </si>
  <si>
    <t>Време исушења</t>
  </si>
  <si>
    <t>𝜃𝑖𝑛𝑡</t>
  </si>
  <si>
    <t>𝜑𝑖𝑛𝑡</t>
  </si>
  <si>
    <t>pint'</t>
  </si>
  <si>
    <t>Za ravan kondenzacije</t>
  </si>
  <si>
    <t>qm,isns</t>
  </si>
  <si>
    <t>VREME ISUSENJA</t>
  </si>
  <si>
    <t>dana</t>
  </si>
  <si>
    <t>r'</t>
  </si>
  <si>
    <t>r''</t>
  </si>
  <si>
    <t>pk1</t>
  </si>
  <si>
    <t>pk2</t>
  </si>
  <si>
    <t>Θe</t>
  </si>
  <si>
    <r>
      <t>Θ</t>
    </r>
    <r>
      <rPr>
        <b/>
        <vertAlign val="subscript"/>
        <sz val="11"/>
        <color theme="1"/>
        <rFont val="Franklin Gothic Book"/>
        <family val="2"/>
        <scheme val="minor"/>
      </rPr>
      <t>He</t>
    </r>
  </si>
  <si>
    <r>
      <rPr>
        <b/>
        <sz val="11"/>
        <color theme="1"/>
        <rFont val="Franklin Gothic Book"/>
        <family val="2"/>
      </rPr>
      <t>φ</t>
    </r>
    <r>
      <rPr>
        <b/>
        <vertAlign val="subscript"/>
        <sz val="11"/>
        <color theme="1"/>
        <rFont val="Franklin Gothic Book"/>
        <family val="2"/>
        <scheme val="minor"/>
      </rPr>
      <t>e</t>
    </r>
  </si>
  <si>
    <r>
      <t>φ</t>
    </r>
    <r>
      <rPr>
        <b/>
        <vertAlign val="subscript"/>
        <sz val="11"/>
        <color theme="1"/>
        <rFont val="Franklin Gothic Book"/>
        <family val="2"/>
        <scheme val="minor"/>
      </rPr>
      <t>i</t>
    </r>
  </si>
  <si>
    <t>Θi</t>
  </si>
  <si>
    <t>Релативни отпор дифузије</t>
  </si>
  <si>
    <t>Позиција</t>
  </si>
  <si>
    <t>слој материје</t>
  </si>
  <si>
    <t>унутра</t>
  </si>
  <si>
    <t>прелаз</t>
  </si>
  <si>
    <t>споља</t>
  </si>
  <si>
    <t>Притисак засићења за сваки слој</t>
  </si>
  <si>
    <t>r [m]</t>
  </si>
  <si>
    <r>
      <t>(g/m</t>
    </r>
    <r>
      <rPr>
        <b/>
        <vertAlign val="superscript"/>
        <sz val="11"/>
        <color theme="1"/>
        <rFont val="Franklin Gothic Book"/>
        <family val="2"/>
        <scheme val="minor"/>
      </rPr>
      <t>2</t>
    </r>
    <r>
      <rPr>
        <b/>
        <sz val="11"/>
        <color theme="1"/>
        <rFont val="Franklin Gothic Book"/>
        <family val="2"/>
        <scheme val="minor"/>
      </rPr>
      <t xml:space="preserve"> h)</t>
    </r>
  </si>
  <si>
    <r>
      <t xml:space="preserve">λ </t>
    </r>
    <r>
      <rPr>
        <sz val="11"/>
        <color theme="1"/>
        <rFont val="Arial"/>
        <family val="2"/>
      </rPr>
      <t>(W/mk)</t>
    </r>
  </si>
</sst>
</file>

<file path=xl/styles.xml><?xml version="1.0" encoding="utf-8"?>
<styleSheet xmlns="http://schemas.openxmlformats.org/spreadsheetml/2006/main">
  <numFmts count="3">
    <numFmt numFmtId="164" formatCode="0.0"/>
    <numFmt numFmtId="165" formatCode="0.000"/>
    <numFmt numFmtId="166" formatCode="0.0000"/>
  </numFmts>
  <fonts count="38">
    <font>
      <sz val="11"/>
      <color theme="1"/>
      <name val="Franklin Gothic Book"/>
      <charset val="134"/>
      <scheme val="minor"/>
    </font>
    <font>
      <sz val="11"/>
      <color theme="1"/>
      <name val="Franklin Gothic Book"/>
      <family val="2"/>
      <charset val="238"/>
      <scheme val="minor"/>
    </font>
    <font>
      <sz val="11"/>
      <name val="Franklin Gothic Book"/>
      <family val="2"/>
      <scheme val="minor"/>
    </font>
    <font>
      <sz val="11"/>
      <color theme="1"/>
      <name val="Franklin Gothic Book"/>
      <family val="2"/>
      <scheme val="minor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vertAlign val="subscript"/>
      <sz val="11"/>
      <color theme="1"/>
      <name val="Times New Roman"/>
      <family val="1"/>
    </font>
    <font>
      <vertAlign val="superscript"/>
      <sz val="11"/>
      <color theme="1"/>
      <name val="Times New Roman"/>
      <family val="1"/>
    </font>
    <font>
      <sz val="12"/>
      <color theme="1"/>
      <name val="Times New Roman"/>
      <family val="1"/>
    </font>
    <font>
      <sz val="11"/>
      <name val="Times New Roman"/>
      <family val="1"/>
    </font>
    <font>
      <sz val="8"/>
      <color theme="1"/>
      <name val="Times New Roman"/>
      <family val="1"/>
    </font>
    <font>
      <sz val="11"/>
      <color rgb="FF7030A0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  <font>
      <vertAlign val="subscript"/>
      <sz val="8"/>
      <color theme="1"/>
      <name val="Times New Roman"/>
      <family val="1"/>
    </font>
    <font>
      <b/>
      <sz val="12"/>
      <color theme="1"/>
      <name val="Times New Roman"/>
      <family val="1"/>
    </font>
    <font>
      <b/>
      <vertAlign val="subscript"/>
      <sz val="12"/>
      <color theme="1"/>
      <name val="Times New Roman"/>
      <family val="1"/>
    </font>
    <font>
      <sz val="9"/>
      <color theme="1"/>
      <name val="Times New Roman"/>
      <family val="1"/>
    </font>
    <font>
      <vertAlign val="subscript"/>
      <sz val="12"/>
      <color theme="1"/>
      <name val="Times New Roman"/>
      <family val="1"/>
    </font>
    <font>
      <vertAlign val="subscript"/>
      <sz val="9"/>
      <color theme="1"/>
      <name val="Times New Roman"/>
      <family val="1"/>
    </font>
    <font>
      <vertAlign val="superscript"/>
      <sz val="9"/>
      <color theme="1"/>
      <name val="Times New Roman"/>
      <family val="1"/>
    </font>
    <font>
      <b/>
      <sz val="9"/>
      <color theme="1"/>
      <name val="Times New Roman"/>
      <family val="1"/>
    </font>
    <font>
      <sz val="9"/>
      <color rgb="FFFF0000"/>
      <name val="Times New Roman"/>
      <family val="1"/>
    </font>
    <font>
      <sz val="9"/>
      <name val="Times New Roman"/>
      <family val="1"/>
    </font>
    <font>
      <vertAlign val="subscript"/>
      <sz val="11"/>
      <name val="Times New Roman"/>
      <family val="1"/>
    </font>
    <font>
      <vertAlign val="superscript"/>
      <sz val="11"/>
      <name val="Times New Roman"/>
      <family val="1"/>
    </font>
    <font>
      <b/>
      <sz val="11"/>
      <name val="Times New Roman"/>
      <family val="1"/>
    </font>
    <font>
      <b/>
      <sz val="11"/>
      <color theme="1"/>
      <name val="Franklin Gothic Book"/>
      <family val="2"/>
      <charset val="238"/>
      <scheme val="minor"/>
    </font>
    <font>
      <sz val="11"/>
      <color theme="1"/>
      <name val="Franklin Gothic Book"/>
      <family val="2"/>
      <scheme val="minor"/>
    </font>
    <font>
      <b/>
      <sz val="14"/>
      <color theme="1"/>
      <name val="Franklin Gothic Book"/>
      <family val="2"/>
      <charset val="238"/>
      <scheme val="minor"/>
    </font>
    <font>
      <b/>
      <sz val="12"/>
      <color theme="1"/>
      <name val="Franklin Gothic Book"/>
      <family val="2"/>
      <charset val="238"/>
      <scheme val="minor"/>
    </font>
    <font>
      <sz val="11"/>
      <color theme="1"/>
      <name val="GreekC"/>
    </font>
    <font>
      <b/>
      <sz val="11"/>
      <color theme="1"/>
      <name val="Franklin Gothic Book"/>
      <family val="2"/>
      <scheme val="minor"/>
    </font>
    <font>
      <sz val="11"/>
      <color rgb="FFFF0000"/>
      <name val="Franklin Gothic Book"/>
      <family val="2"/>
      <scheme val="minor"/>
    </font>
    <font>
      <b/>
      <sz val="11"/>
      <color theme="1"/>
      <name val="Franklin Gothic Book"/>
      <family val="2"/>
    </font>
    <font>
      <b/>
      <vertAlign val="subscript"/>
      <sz val="11"/>
      <color theme="1"/>
      <name val="Franklin Gothic Book"/>
      <family val="2"/>
      <scheme val="minor"/>
    </font>
    <font>
      <b/>
      <vertAlign val="superscript"/>
      <sz val="11"/>
      <color theme="1"/>
      <name val="Franklin Gothic Book"/>
      <family val="2"/>
      <scheme val="minor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5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</borders>
  <cellStyleXfs count="4">
    <xf numFmtId="0" fontId="0" fillId="0" borderId="0"/>
    <xf numFmtId="0" fontId="1" fillId="0" borderId="0"/>
    <xf numFmtId="0" fontId="3" fillId="0" borderId="0">
      <alignment vertical="center"/>
    </xf>
    <xf numFmtId="0" fontId="28" fillId="0" borderId="0"/>
  </cellStyleXfs>
  <cellXfs count="293">
    <xf numFmtId="0" fontId="0" fillId="0" borderId="0" xfId="0"/>
    <xf numFmtId="0" fontId="0" fillId="0" borderId="0" xfId="2" applyFont="1" applyFill="1" applyAlignment="1"/>
    <xf numFmtId="0" fontId="2" fillId="0" borderId="0" xfId="2" applyFont="1" applyFill="1" applyBorder="1">
      <alignment vertical="center"/>
    </xf>
    <xf numFmtId="0" fontId="2" fillId="0" borderId="0" xfId="2" applyFont="1" applyFill="1" applyBorder="1" applyAlignment="1">
      <alignment horizontal="center"/>
    </xf>
    <xf numFmtId="2" fontId="2" fillId="0" borderId="0" xfId="2" applyNumberFormat="1" applyFont="1" applyFill="1" applyBorder="1" applyAlignment="1">
      <alignment horizontal="center"/>
    </xf>
    <xf numFmtId="0" fontId="4" fillId="0" borderId="1" xfId="2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5" fillId="0" borderId="0" xfId="0" applyFont="1" applyFill="1"/>
    <xf numFmtId="0" fontId="5" fillId="0" borderId="0" xfId="0" applyFont="1"/>
    <xf numFmtId="0" fontId="5" fillId="0" borderId="0" xfId="0" applyFont="1" applyFill="1" applyBorder="1"/>
    <xf numFmtId="0" fontId="5" fillId="0" borderId="2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2" fontId="5" fillId="0" borderId="1" xfId="0" applyNumberFormat="1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1" fontId="5" fillId="0" borderId="15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2" fontId="5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1" xfId="0" applyFont="1" applyFill="1" applyBorder="1" applyAlignment="1">
      <alignment horizontal="center"/>
    </xf>
    <xf numFmtId="2" fontId="5" fillId="0" borderId="0" xfId="0" applyNumberFormat="1" applyFont="1"/>
    <xf numFmtId="0" fontId="5" fillId="0" borderId="6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 vertical="center"/>
    </xf>
    <xf numFmtId="164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65" fontId="5" fillId="0" borderId="1" xfId="0" applyNumberFormat="1" applyFont="1" applyFill="1" applyBorder="1" applyAlignment="1">
      <alignment horizontal="center" vertical="center"/>
    </xf>
    <xf numFmtId="165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2" fontId="5" fillId="0" borderId="8" xfId="0" applyNumberFormat="1" applyFont="1" applyFill="1" applyBorder="1" applyAlignment="1">
      <alignment horizontal="center" vertical="center"/>
    </xf>
    <xf numFmtId="2" fontId="5" fillId="0" borderId="21" xfId="0" applyNumberFormat="1" applyFont="1" applyFill="1" applyBorder="1" applyAlignment="1">
      <alignment vertical="center"/>
    </xf>
    <xf numFmtId="2" fontId="5" fillId="0" borderId="38" xfId="0" applyNumberFormat="1" applyFont="1" applyFill="1" applyBorder="1" applyAlignment="1">
      <alignment vertical="center"/>
    </xf>
    <xf numFmtId="2" fontId="5" fillId="0" borderId="43" xfId="0" applyNumberFormat="1" applyFont="1" applyFill="1" applyBorder="1" applyAlignment="1">
      <alignment vertical="center"/>
    </xf>
    <xf numFmtId="2" fontId="5" fillId="0" borderId="0" xfId="0" applyNumberFormat="1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2" fontId="5" fillId="0" borderId="0" xfId="0" applyNumberFormat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1" fontId="5" fillId="2" borderId="1" xfId="1" applyNumberFormat="1" applyFont="1" applyFill="1" applyBorder="1" applyAlignment="1">
      <alignment horizontal="center" vertical="center"/>
    </xf>
    <xf numFmtId="0" fontId="12" fillId="0" borderId="0" xfId="0" applyFont="1"/>
    <xf numFmtId="0" fontId="5" fillId="0" borderId="11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0" xfId="0" applyFont="1" applyBorder="1" applyAlignment="1"/>
    <xf numFmtId="1" fontId="5" fillId="0" borderId="1" xfId="0" applyNumberFormat="1" applyFont="1" applyBorder="1"/>
    <xf numFmtId="1" fontId="5" fillId="0" borderId="0" xfId="0" applyNumberFormat="1" applyFont="1"/>
    <xf numFmtId="0" fontId="5" fillId="0" borderId="0" xfId="0" applyFont="1" applyBorder="1"/>
    <xf numFmtId="0" fontId="5" fillId="0" borderId="0" xfId="0" applyFont="1" applyFill="1" applyAlignment="1"/>
    <xf numFmtId="0" fontId="5" fillId="0" borderId="5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2" fontId="5" fillId="0" borderId="47" xfId="0" applyNumberFormat="1" applyFont="1" applyFill="1" applyBorder="1" applyAlignment="1">
      <alignment horizontal="center" vertical="center"/>
    </xf>
    <xf numFmtId="0" fontId="5" fillId="0" borderId="48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2" fontId="5" fillId="0" borderId="16" xfId="0" applyNumberFormat="1" applyFont="1" applyFill="1" applyBorder="1" applyAlignment="1">
      <alignment horizontal="center" vertical="center"/>
    </xf>
    <xf numFmtId="2" fontId="5" fillId="0" borderId="46" xfId="0" applyNumberFormat="1" applyFont="1" applyFill="1" applyBorder="1" applyAlignment="1">
      <alignment horizontal="center" vertical="center"/>
    </xf>
    <xf numFmtId="2" fontId="5" fillId="0" borderId="13" xfId="0" applyNumberFormat="1" applyFont="1" applyFill="1" applyBorder="1" applyAlignment="1">
      <alignment horizontal="center" vertical="center"/>
    </xf>
    <xf numFmtId="1" fontId="5" fillId="0" borderId="13" xfId="0" applyNumberFormat="1" applyFont="1" applyFill="1" applyBorder="1" applyAlignment="1">
      <alignment horizontal="center" vertical="center"/>
    </xf>
    <xf numFmtId="1" fontId="5" fillId="0" borderId="0" xfId="0" applyNumberFormat="1" applyFont="1" applyFill="1"/>
    <xf numFmtId="0" fontId="8" fillId="0" borderId="12" xfId="0" applyFont="1" applyFill="1" applyBorder="1" applyAlignment="1">
      <alignment horizontal="center" vertical="center"/>
    </xf>
    <xf numFmtId="1" fontId="5" fillId="0" borderId="11" xfId="0" applyNumberFormat="1" applyFont="1" applyFill="1" applyBorder="1" applyAlignment="1">
      <alignment horizontal="center" vertical="center"/>
    </xf>
    <xf numFmtId="1" fontId="5" fillId="0" borderId="16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/>
    </xf>
    <xf numFmtId="1" fontId="5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166" fontId="5" fillId="0" borderId="0" xfId="0" applyNumberFormat="1" applyFont="1" applyFill="1" applyBorder="1" applyAlignment="1">
      <alignment horizontal="center" vertical="center"/>
    </xf>
    <xf numFmtId="0" fontId="17" fillId="2" borderId="9" xfId="0" applyFont="1" applyFill="1" applyBorder="1" applyAlignment="1">
      <alignment horizontal="center" vertical="center"/>
    </xf>
    <xf numFmtId="0" fontId="17" fillId="2" borderId="10" xfId="0" applyFont="1" applyFill="1" applyBorder="1" applyAlignment="1">
      <alignment horizontal="center" vertical="center"/>
    </xf>
    <xf numFmtId="0" fontId="17" fillId="2" borderId="12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17" fillId="2" borderId="13" xfId="0" applyFont="1" applyFill="1" applyBorder="1" applyAlignment="1">
      <alignment horizontal="center" vertical="center"/>
    </xf>
    <xf numFmtId="0" fontId="17" fillId="2" borderId="17" xfId="0" applyFont="1" applyFill="1" applyBorder="1" applyAlignment="1">
      <alignment horizontal="center" vertical="center"/>
    </xf>
    <xf numFmtId="0" fontId="17" fillId="2" borderId="2" xfId="0" applyFont="1" applyFill="1" applyBorder="1" applyAlignment="1">
      <alignment horizontal="center" vertical="center"/>
    </xf>
    <xf numFmtId="0" fontId="17" fillId="2" borderId="18" xfId="0" applyFont="1" applyFill="1" applyBorder="1" applyAlignment="1">
      <alignment horizontal="center" vertical="center"/>
    </xf>
    <xf numFmtId="0" fontId="22" fillId="2" borderId="10" xfId="0" applyFont="1" applyFill="1" applyBorder="1" applyAlignment="1">
      <alignment horizontal="center" vertical="center"/>
    </xf>
    <xf numFmtId="0" fontId="17" fillId="2" borderId="11" xfId="0" applyFont="1" applyFill="1" applyBorder="1" applyAlignment="1">
      <alignment horizontal="center" vertical="center"/>
    </xf>
    <xf numFmtId="2" fontId="17" fillId="2" borderId="1" xfId="0" applyNumberFormat="1" applyFont="1" applyFill="1" applyBorder="1" applyAlignment="1">
      <alignment horizontal="center" vertical="center"/>
    </xf>
    <xf numFmtId="165" fontId="17" fillId="2" borderId="1" xfId="0" applyNumberFormat="1" applyFont="1" applyFill="1" applyBorder="1" applyAlignment="1">
      <alignment horizontal="center" vertical="center"/>
    </xf>
    <xf numFmtId="0" fontId="23" fillId="2" borderId="1" xfId="0" applyFont="1" applyFill="1" applyBorder="1" applyAlignment="1">
      <alignment horizontal="center" vertical="center"/>
    </xf>
    <xf numFmtId="0" fontId="22" fillId="2" borderId="1" xfId="0" applyFont="1" applyFill="1" applyBorder="1" applyAlignment="1">
      <alignment horizontal="center" vertical="center"/>
    </xf>
    <xf numFmtId="2" fontId="17" fillId="2" borderId="13" xfId="0" applyNumberFormat="1" applyFont="1" applyFill="1" applyBorder="1" applyAlignment="1">
      <alignment horizontal="center" vertical="center"/>
    </xf>
    <xf numFmtId="0" fontId="23" fillId="2" borderId="10" xfId="0" applyFont="1" applyFill="1" applyBorder="1" applyAlignment="1">
      <alignment horizontal="center" vertical="center"/>
    </xf>
    <xf numFmtId="2" fontId="23" fillId="2" borderId="1" xfId="0" applyNumberFormat="1" applyFont="1" applyFill="1" applyBorder="1" applyAlignment="1">
      <alignment horizontal="center" vertical="center"/>
    </xf>
    <xf numFmtId="0" fontId="22" fillId="2" borderId="44" xfId="0" applyFont="1" applyFill="1" applyBorder="1" applyAlignment="1">
      <alignment horizontal="center" vertical="center"/>
    </xf>
    <xf numFmtId="2" fontId="17" fillId="2" borderId="45" xfId="0" applyNumberFormat="1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/>
    </xf>
    <xf numFmtId="0" fontId="9" fillId="0" borderId="1" xfId="0" applyFont="1" applyBorder="1" applyAlignment="1">
      <alignment vertical="center"/>
    </xf>
    <xf numFmtId="0" fontId="9" fillId="0" borderId="0" xfId="0" applyFont="1"/>
    <xf numFmtId="0" fontId="12" fillId="0" borderId="1" xfId="0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/>
    <xf numFmtId="0" fontId="12" fillId="0" borderId="1" xfId="0" applyFont="1" applyBorder="1" applyAlignment="1">
      <alignment horizontal="center" vertical="center" wrapText="1"/>
    </xf>
    <xf numFmtId="1" fontId="5" fillId="0" borderId="1" xfId="0" applyNumberFormat="1" applyFont="1" applyFill="1" applyBorder="1"/>
    <xf numFmtId="0" fontId="29" fillId="0" borderId="0" xfId="3" applyFont="1" applyBorder="1" applyAlignment="1">
      <alignment horizontal="center"/>
    </xf>
    <xf numFmtId="0" fontId="28" fillId="0" borderId="0" xfId="3"/>
    <xf numFmtId="0" fontId="27" fillId="0" borderId="1" xfId="3" applyFont="1" applyBorder="1" applyAlignment="1">
      <alignment horizontal="center"/>
    </xf>
    <xf numFmtId="0" fontId="27" fillId="0" borderId="1" xfId="3" applyFont="1" applyFill="1" applyBorder="1" applyAlignment="1">
      <alignment horizontal="center"/>
    </xf>
    <xf numFmtId="0" fontId="27" fillId="0" borderId="0" xfId="3" applyFont="1" applyFill="1" applyBorder="1" applyAlignment="1">
      <alignment horizontal="center"/>
    </xf>
    <xf numFmtId="0" fontId="28" fillId="0" borderId="1" xfId="3" applyBorder="1" applyAlignment="1">
      <alignment horizontal="center"/>
    </xf>
    <xf numFmtId="0" fontId="28" fillId="0" borderId="1" xfId="3" applyFill="1" applyBorder="1" applyAlignment="1">
      <alignment horizontal="center"/>
    </xf>
    <xf numFmtId="0" fontId="28" fillId="0" borderId="0" xfId="3" applyFill="1" applyBorder="1" applyAlignment="1">
      <alignment horizontal="center"/>
    </xf>
    <xf numFmtId="0" fontId="28" fillId="0" borderId="0" xfId="3" applyAlignment="1"/>
    <xf numFmtId="0" fontId="27" fillId="0" borderId="1" xfId="3" applyFont="1" applyBorder="1"/>
    <xf numFmtId="0" fontId="28" fillId="0" borderId="1" xfId="3" applyBorder="1"/>
    <xf numFmtId="0" fontId="28" fillId="0" borderId="0" xfId="3" applyBorder="1" applyAlignment="1">
      <alignment horizontal="center"/>
    </xf>
    <xf numFmtId="0" fontId="27" fillId="0" borderId="0" xfId="3" applyFont="1" applyBorder="1" applyAlignment="1">
      <alignment horizontal="center"/>
    </xf>
    <xf numFmtId="0" fontId="28" fillId="0" borderId="0" xfId="3" applyBorder="1"/>
    <xf numFmtId="165" fontId="28" fillId="0" borderId="1" xfId="3" applyNumberFormat="1" applyBorder="1" applyAlignment="1">
      <alignment horizontal="center"/>
    </xf>
    <xf numFmtId="0" fontId="28" fillId="0" borderId="0" xfId="3" applyBorder="1" applyAlignment="1"/>
    <xf numFmtId="2" fontId="28" fillId="0" borderId="1" xfId="3" applyNumberFormat="1" applyBorder="1"/>
    <xf numFmtId="2" fontId="28" fillId="0" borderId="0" xfId="3" applyNumberFormat="1"/>
    <xf numFmtId="2" fontId="28" fillId="0" borderId="1" xfId="3" applyNumberFormat="1" applyBorder="1" applyAlignment="1">
      <alignment horizontal="center"/>
    </xf>
    <xf numFmtId="2" fontId="28" fillId="0" borderId="15" xfId="3" applyNumberFormat="1" applyBorder="1" applyAlignment="1">
      <alignment horizontal="center"/>
    </xf>
    <xf numFmtId="2" fontId="28" fillId="0" borderId="10" xfId="3" applyNumberFormat="1" applyBorder="1" applyAlignment="1">
      <alignment horizontal="center"/>
    </xf>
    <xf numFmtId="0" fontId="31" fillId="0" borderId="0" xfId="3" applyFont="1"/>
    <xf numFmtId="0" fontId="0" fillId="0" borderId="1" xfId="0" applyBorder="1"/>
    <xf numFmtId="0" fontId="32" fillId="0" borderId="1" xfId="0" applyFont="1" applyBorder="1"/>
    <xf numFmtId="0" fontId="0" fillId="0" borderId="0" xfId="0" applyFont="1" applyAlignment="1"/>
    <xf numFmtId="0" fontId="0" fillId="0" borderId="1" xfId="0" applyFont="1" applyBorder="1"/>
    <xf numFmtId="0" fontId="32" fillId="0" borderId="1" xfId="0" applyFont="1" applyBorder="1" applyAlignment="1">
      <alignment horizontal="center"/>
    </xf>
    <xf numFmtId="2" fontId="0" fillId="0" borderId="1" xfId="0" applyNumberFormat="1" applyBorder="1"/>
    <xf numFmtId="0" fontId="34" fillId="0" borderId="1" xfId="3" applyFont="1" applyBorder="1" applyAlignment="1">
      <alignment horizontal="center"/>
    </xf>
    <xf numFmtId="0" fontId="32" fillId="0" borderId="1" xfId="3" applyFont="1" applyFill="1" applyBorder="1" applyAlignment="1">
      <alignment horizontal="center"/>
    </xf>
    <xf numFmtId="1" fontId="33" fillId="0" borderId="1" xfId="0" applyNumberFormat="1" applyFont="1" applyBorder="1" applyAlignment="1">
      <alignment horizontal="center"/>
    </xf>
    <xf numFmtId="0" fontId="32" fillId="0" borderId="1" xfId="0" applyFont="1" applyBorder="1" applyAlignment="1">
      <alignment horizontal="center"/>
    </xf>
    <xf numFmtId="0" fontId="15" fillId="2" borderId="2" xfId="0" applyFont="1" applyFill="1" applyBorder="1" applyAlignment="1">
      <alignment horizontal="center" vertical="center"/>
    </xf>
    <xf numFmtId="0" fontId="15" fillId="2" borderId="10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31" xfId="0" applyFont="1" applyBorder="1" applyAlignment="1">
      <alignment horizontal="center"/>
    </xf>
    <xf numFmtId="0" fontId="5" fillId="0" borderId="19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2" borderId="19" xfId="1" applyFont="1" applyFill="1" applyBorder="1" applyAlignment="1">
      <alignment horizontal="center" vertical="center"/>
    </xf>
    <xf numFmtId="0" fontId="5" fillId="2" borderId="31" xfId="1" applyFont="1" applyFill="1" applyBorder="1" applyAlignment="1">
      <alignment horizontal="center" vertical="center"/>
    </xf>
    <xf numFmtId="0" fontId="5" fillId="0" borderId="2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/>
    </xf>
    <xf numFmtId="0" fontId="5" fillId="2" borderId="20" xfId="0" applyFont="1" applyFill="1" applyBorder="1" applyAlignment="1">
      <alignment horizontal="center"/>
    </xf>
    <xf numFmtId="0" fontId="5" fillId="2" borderId="31" xfId="0" applyFont="1" applyFill="1" applyBorder="1" applyAlignment="1">
      <alignment horizontal="center"/>
    </xf>
    <xf numFmtId="1" fontId="11" fillId="2" borderId="19" xfId="1" applyNumberFormat="1" applyFont="1" applyFill="1" applyBorder="1" applyAlignment="1">
      <alignment horizontal="center" vertical="center"/>
    </xf>
    <xf numFmtId="1" fontId="11" fillId="2" borderId="31" xfId="1" applyNumberFormat="1" applyFont="1" applyFill="1" applyBorder="1" applyAlignment="1">
      <alignment horizontal="center" vertical="center"/>
    </xf>
    <xf numFmtId="1" fontId="5" fillId="2" borderId="2" xfId="1" applyNumberFormat="1" applyFont="1" applyFill="1" applyBorder="1" applyAlignment="1">
      <alignment horizontal="center" vertical="center"/>
    </xf>
    <xf numFmtId="1" fontId="5" fillId="2" borderId="44" xfId="1" applyNumberFormat="1" applyFont="1" applyFill="1" applyBorder="1" applyAlignment="1">
      <alignment horizontal="center" vertical="center"/>
    </xf>
    <xf numFmtId="1" fontId="5" fillId="2" borderId="10" xfId="1" applyNumberFormat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/>
    </xf>
    <xf numFmtId="0" fontId="5" fillId="2" borderId="44" xfId="1" applyFont="1" applyFill="1" applyBorder="1" applyAlignment="1">
      <alignment horizontal="center" vertical="center"/>
    </xf>
    <xf numFmtId="0" fontId="5" fillId="2" borderId="10" xfId="1" applyFont="1" applyFill="1" applyBorder="1" applyAlignment="1">
      <alignment horizontal="center" vertical="center"/>
    </xf>
    <xf numFmtId="0" fontId="5" fillId="2" borderId="19" xfId="1" applyFont="1" applyFill="1" applyBorder="1" applyAlignment="1">
      <alignment horizontal="center"/>
    </xf>
    <xf numFmtId="0" fontId="5" fillId="2" borderId="31" xfId="1" applyFont="1" applyFill="1" applyBorder="1" applyAlignment="1">
      <alignment horizontal="center"/>
    </xf>
    <xf numFmtId="1" fontId="5" fillId="0" borderId="19" xfId="0" applyNumberFormat="1" applyFont="1" applyBorder="1" applyAlignment="1">
      <alignment horizontal="center"/>
    </xf>
    <xf numFmtId="1" fontId="5" fillId="0" borderId="31" xfId="0" applyNumberFormat="1" applyFont="1" applyBorder="1" applyAlignment="1">
      <alignment horizont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1" fontId="5" fillId="2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0" fontId="17" fillId="2" borderId="4" xfId="0" applyFont="1" applyFill="1" applyBorder="1" applyAlignment="1">
      <alignment horizontal="center" vertical="center" wrapText="1"/>
    </xf>
    <xf numFmtId="0" fontId="17" fillId="2" borderId="5" xfId="0" applyFont="1" applyFill="1" applyBorder="1" applyAlignment="1">
      <alignment horizontal="center" vertical="center" wrapText="1"/>
    </xf>
    <xf numFmtId="0" fontId="21" fillId="2" borderId="30" xfId="0" applyFont="1" applyFill="1" applyBorder="1" applyAlignment="1">
      <alignment horizontal="center" vertical="center"/>
    </xf>
    <xf numFmtId="0" fontId="21" fillId="2" borderId="20" xfId="0" applyFont="1" applyFill="1" applyBorder="1" applyAlignment="1">
      <alignment horizontal="center" vertical="center"/>
    </xf>
    <xf numFmtId="0" fontId="21" fillId="2" borderId="34" xfId="0" applyFont="1" applyFill="1" applyBorder="1" applyAlignment="1">
      <alignment horizontal="center" vertical="center"/>
    </xf>
    <xf numFmtId="1" fontId="5" fillId="0" borderId="20" xfId="0" applyNumberFormat="1" applyFont="1" applyBorder="1" applyAlignment="1">
      <alignment horizontal="center"/>
    </xf>
    <xf numFmtId="0" fontId="5" fillId="0" borderId="19" xfId="0" applyFont="1" applyBorder="1" applyAlignment="1">
      <alignment horizontal="center" wrapText="1"/>
    </xf>
    <xf numFmtId="0" fontId="5" fillId="0" borderId="20" xfId="0" applyFont="1" applyBorder="1"/>
    <xf numFmtId="0" fontId="5" fillId="0" borderId="31" xfId="0" applyFont="1" applyBorder="1"/>
    <xf numFmtId="0" fontId="5" fillId="0" borderId="20" xfId="0" applyFont="1" applyBorder="1" applyAlignment="1">
      <alignment horizontal="center" wrapText="1"/>
    </xf>
    <xf numFmtId="0" fontId="5" fillId="0" borderId="31" xfId="0" applyFont="1" applyBorder="1" applyAlignment="1">
      <alignment horizontal="center" wrapText="1"/>
    </xf>
    <xf numFmtId="0" fontId="5" fillId="0" borderId="20" xfId="0" applyFont="1" applyBorder="1" applyAlignment="1">
      <alignment horizontal="center"/>
    </xf>
    <xf numFmtId="1" fontId="5" fillId="0" borderId="1" xfId="0" applyNumberFormat="1" applyFont="1" applyBorder="1" applyAlignment="1">
      <alignment horizont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 wrapText="1"/>
    </xf>
    <xf numFmtId="0" fontId="5" fillId="0" borderId="28" xfId="0" applyFont="1" applyFill="1" applyBorder="1" applyAlignment="1">
      <alignment horizontal="center" vertical="center" wrapText="1"/>
    </xf>
    <xf numFmtId="0" fontId="5" fillId="0" borderId="3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36" xfId="0" applyFont="1" applyFill="1" applyBorder="1" applyAlignment="1">
      <alignment horizontal="center" vertical="center"/>
    </xf>
    <xf numFmtId="0" fontId="5" fillId="0" borderId="37" xfId="0" applyFont="1" applyFill="1" applyBorder="1" applyAlignment="1">
      <alignment horizontal="center" vertical="center"/>
    </xf>
    <xf numFmtId="0" fontId="5" fillId="0" borderId="33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0" borderId="34" xfId="0" applyFont="1" applyFill="1" applyBorder="1" applyAlignment="1">
      <alignment horizontal="center" vertical="center" wrapText="1"/>
    </xf>
    <xf numFmtId="0" fontId="5" fillId="0" borderId="3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5" fillId="0" borderId="38" xfId="0" applyFont="1" applyBorder="1"/>
    <xf numFmtId="0" fontId="5" fillId="0" borderId="22" xfId="0" applyFont="1" applyBorder="1"/>
    <xf numFmtId="0" fontId="5" fillId="0" borderId="23" xfId="0" applyFont="1" applyBorder="1"/>
    <xf numFmtId="0" fontId="5" fillId="0" borderId="39" xfId="0" applyFont="1" applyBorder="1"/>
    <xf numFmtId="0" fontId="5" fillId="0" borderId="24" xfId="0" applyFont="1" applyBorder="1"/>
    <xf numFmtId="0" fontId="5" fillId="0" borderId="3" xfId="0" applyFont="1" applyFill="1" applyBorder="1" applyAlignment="1">
      <alignment horizontal="center" wrapText="1"/>
    </xf>
    <xf numFmtId="0" fontId="5" fillId="0" borderId="4" xfId="0" applyFont="1" applyFill="1" applyBorder="1" applyAlignment="1">
      <alignment horizontal="center" wrapText="1"/>
    </xf>
    <xf numFmtId="0" fontId="5" fillId="0" borderId="5" xfId="0" applyFont="1" applyFill="1" applyBorder="1" applyAlignment="1">
      <alignment horizontal="center" wrapText="1"/>
    </xf>
    <xf numFmtId="0" fontId="5" fillId="0" borderId="30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/>
    </xf>
    <xf numFmtId="2" fontId="5" fillId="0" borderId="27" xfId="0" applyNumberFormat="1" applyFont="1" applyFill="1" applyBorder="1" applyAlignment="1">
      <alignment horizontal="center" vertical="center"/>
    </xf>
    <xf numFmtId="2" fontId="5" fillId="0" borderId="35" xfId="0" applyNumberFormat="1" applyFont="1" applyFill="1" applyBorder="1" applyAlignment="1">
      <alignment horizontal="center" vertical="center"/>
    </xf>
    <xf numFmtId="2" fontId="5" fillId="0" borderId="36" xfId="0" applyNumberFormat="1" applyFont="1" applyFill="1" applyBorder="1" applyAlignment="1">
      <alignment horizontal="center" vertical="center"/>
    </xf>
    <xf numFmtId="2" fontId="5" fillId="0" borderId="33" xfId="0" applyNumberFormat="1" applyFont="1" applyFill="1" applyBorder="1" applyAlignment="1">
      <alignment horizontal="center" vertical="center"/>
    </xf>
    <xf numFmtId="2" fontId="5" fillId="0" borderId="1" xfId="0" applyNumberFormat="1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41" xfId="0" applyFont="1" applyFill="1" applyBorder="1" applyAlignment="1">
      <alignment horizontal="center" vertical="center" wrapText="1"/>
    </xf>
    <xf numFmtId="0" fontId="9" fillId="0" borderId="4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2" fontId="5" fillId="0" borderId="2" xfId="0" applyNumberFormat="1" applyFont="1" applyFill="1" applyBorder="1" applyAlignment="1">
      <alignment horizontal="center" vertical="center" wrapText="1"/>
    </xf>
    <xf numFmtId="2" fontId="5" fillId="0" borderId="10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38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5" fillId="0" borderId="23" xfId="0" applyFont="1" applyFill="1" applyBorder="1" applyAlignment="1">
      <alignment horizontal="center" vertical="center" wrapText="1"/>
    </xf>
    <xf numFmtId="0" fontId="5" fillId="0" borderId="39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center" vertical="center" wrapText="1"/>
    </xf>
    <xf numFmtId="0" fontId="5" fillId="0" borderId="23" xfId="0" applyFont="1" applyFill="1" applyBorder="1" applyAlignment="1">
      <alignment horizontal="center" vertical="center"/>
    </xf>
    <xf numFmtId="0" fontId="5" fillId="0" borderId="39" xfId="0" applyFont="1" applyFill="1" applyBorder="1" applyAlignment="1">
      <alignment horizontal="center" vertical="center"/>
    </xf>
    <xf numFmtId="0" fontId="5" fillId="0" borderId="40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horizontal="center" vertical="center"/>
    </xf>
    <xf numFmtId="0" fontId="5" fillId="0" borderId="35" xfId="0" applyFont="1" applyFill="1" applyBorder="1" applyAlignment="1">
      <alignment horizontal="center" vertical="center"/>
    </xf>
    <xf numFmtId="0" fontId="26" fillId="0" borderId="19" xfId="0" applyFont="1" applyBorder="1" applyAlignment="1">
      <alignment horizontal="center"/>
    </xf>
    <xf numFmtId="0" fontId="26" fillId="0" borderId="20" xfId="0" applyFont="1" applyBorder="1" applyAlignment="1">
      <alignment horizontal="center"/>
    </xf>
    <xf numFmtId="0" fontId="26" fillId="0" borderId="31" xfId="0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9" fillId="0" borderId="20" xfId="0" applyFont="1" applyBorder="1" applyAlignment="1">
      <alignment horizontal="center"/>
    </xf>
    <xf numFmtId="0" fontId="9" fillId="0" borderId="31" xfId="0" applyFont="1" applyBorder="1" applyAlignment="1">
      <alignment horizontal="center"/>
    </xf>
    <xf numFmtId="2" fontId="5" fillId="0" borderId="19" xfId="0" applyNumberFormat="1" applyFont="1" applyFill="1" applyBorder="1" applyAlignment="1">
      <alignment horizontal="center" vertical="center"/>
    </xf>
    <xf numFmtId="2" fontId="5" fillId="0" borderId="31" xfId="0" applyNumberFormat="1" applyFont="1" applyFill="1" applyBorder="1" applyAlignment="1">
      <alignment horizontal="center" vertical="center"/>
    </xf>
    <xf numFmtId="0" fontId="5" fillId="0" borderId="32" xfId="0" applyFont="1" applyFill="1" applyBorder="1" applyAlignment="1">
      <alignment horizontal="center" vertical="center"/>
    </xf>
    <xf numFmtId="1" fontId="5" fillId="0" borderId="27" xfId="0" applyNumberFormat="1" applyFont="1" applyFill="1" applyBorder="1" applyAlignment="1">
      <alignment horizontal="center" vertical="center"/>
    </xf>
    <xf numFmtId="1" fontId="5" fillId="0" borderId="35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/>
    </xf>
    <xf numFmtId="2" fontId="5" fillId="0" borderId="26" xfId="0" applyNumberFormat="1" applyFont="1" applyFill="1" applyBorder="1" applyAlignment="1">
      <alignment horizontal="center" vertical="center"/>
    </xf>
    <xf numFmtId="2" fontId="5" fillId="0" borderId="28" xfId="0" applyNumberFormat="1" applyFont="1" applyFill="1" applyBorder="1" applyAlignment="1">
      <alignment horizontal="center" vertical="center"/>
    </xf>
    <xf numFmtId="1" fontId="5" fillId="0" borderId="49" xfId="0" applyNumberFormat="1" applyFont="1" applyFill="1" applyBorder="1" applyAlignment="1">
      <alignment horizontal="center" vertical="center"/>
    </xf>
    <xf numFmtId="1" fontId="5" fillId="0" borderId="5" xfId="0" applyNumberFormat="1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1" fontId="5" fillId="0" borderId="28" xfId="0" applyNumberFormat="1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/>
    </xf>
    <xf numFmtId="0" fontId="12" fillId="0" borderId="20" xfId="0" applyFont="1" applyFill="1" applyBorder="1" applyAlignment="1">
      <alignment horizontal="center"/>
    </xf>
    <xf numFmtId="0" fontId="12" fillId="0" borderId="31" xfId="0" applyFont="1" applyFill="1" applyBorder="1" applyAlignment="1">
      <alignment horizontal="center"/>
    </xf>
    <xf numFmtId="0" fontId="3" fillId="0" borderId="19" xfId="3" applyFont="1" applyBorder="1" applyAlignment="1">
      <alignment horizontal="center"/>
    </xf>
    <xf numFmtId="0" fontId="28" fillId="0" borderId="31" xfId="3" applyBorder="1" applyAlignment="1">
      <alignment horizontal="center"/>
    </xf>
    <xf numFmtId="0" fontId="28" fillId="0" borderId="19" xfId="3" applyBorder="1" applyAlignment="1">
      <alignment horizontal="center"/>
    </xf>
    <xf numFmtId="0" fontId="27" fillId="0" borderId="19" xfId="3" applyFont="1" applyBorder="1" applyAlignment="1">
      <alignment horizontal="center"/>
    </xf>
    <xf numFmtId="0" fontId="27" fillId="0" borderId="31" xfId="3" applyFont="1" applyBorder="1" applyAlignment="1">
      <alignment horizontal="center"/>
    </xf>
    <xf numFmtId="0" fontId="32" fillId="0" borderId="19" xfId="0" applyFont="1" applyBorder="1" applyAlignment="1">
      <alignment horizontal="center"/>
    </xf>
    <xf numFmtId="0" fontId="32" fillId="0" borderId="20" xfId="0" applyFont="1" applyBorder="1" applyAlignment="1">
      <alignment horizontal="center"/>
    </xf>
    <xf numFmtId="0" fontId="32" fillId="0" borderId="31" xfId="0" applyFont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31" xfId="0" applyBorder="1" applyAlignment="1">
      <alignment horizontal="center"/>
    </xf>
    <xf numFmtId="0" fontId="32" fillId="0" borderId="19" xfId="0" applyFont="1" applyBorder="1" applyAlignment="1">
      <alignment horizontal="center" wrapText="1"/>
    </xf>
    <xf numFmtId="0" fontId="32" fillId="0" borderId="20" xfId="0" applyFont="1" applyBorder="1" applyAlignment="1">
      <alignment horizontal="center" wrapText="1"/>
    </xf>
    <xf numFmtId="0" fontId="32" fillId="0" borderId="31" xfId="0" applyFont="1" applyBorder="1" applyAlignment="1">
      <alignment horizontal="center" wrapText="1"/>
    </xf>
    <xf numFmtId="0" fontId="32" fillId="0" borderId="1" xfId="0" applyFont="1" applyBorder="1" applyAlignment="1">
      <alignment horizontal="center"/>
    </xf>
    <xf numFmtId="0" fontId="29" fillId="3" borderId="1" xfId="3" applyFont="1" applyFill="1" applyBorder="1" applyAlignment="1">
      <alignment horizontal="center"/>
    </xf>
    <xf numFmtId="0" fontId="27" fillId="3" borderId="1" xfId="3" applyFont="1" applyFill="1" applyBorder="1" applyAlignment="1">
      <alignment horizontal="center"/>
    </xf>
    <xf numFmtId="0" fontId="30" fillId="3" borderId="1" xfId="3" applyFont="1" applyFill="1" applyBorder="1" applyAlignment="1">
      <alignment horizontal="center"/>
    </xf>
    <xf numFmtId="0" fontId="28" fillId="0" borderId="38" xfId="3" applyBorder="1" applyAlignment="1">
      <alignment horizontal="center"/>
    </xf>
    <xf numFmtId="0" fontId="27" fillId="0" borderId="1" xfId="3" applyFont="1" applyBorder="1" applyAlignment="1">
      <alignment horizontal="center" vertical="center"/>
    </xf>
  </cellXfs>
  <cellStyles count="4">
    <cellStyle name="Normal" xfId="0" builtinId="0"/>
    <cellStyle name="Normal 2" xfId="1"/>
    <cellStyle name="Normal 3" xfId="2"/>
    <cellStyle name="Normal 4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 algn="ctr">
              <a:defRPr/>
            </a:pPr>
            <a:r>
              <a:rPr lang="sr-Cyrl-RS" sz="1400" b="1" i="0" baseline="0">
                <a:latin typeface="+mn-lt"/>
              </a:rPr>
              <a:t>Дијаграм потребне топлоте за грејање по месецима</a:t>
            </a:r>
            <a:endParaRPr lang="en-US" sz="1400" b="1" i="0" baseline="0">
              <a:latin typeface="+mn-lt"/>
            </a:endParaRP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cat>
            <c:strRef>
              <c:f>'Губици;добици'!$A$376:$A$382</c:f>
              <c:strCache>
                <c:ptCount val="7"/>
                <c:pt idx="0">
                  <c:v>Октобар</c:v>
                </c:pt>
                <c:pt idx="1">
                  <c:v>Новeмбар</c:v>
                </c:pt>
                <c:pt idx="2">
                  <c:v>Децембар</c:v>
                </c:pt>
                <c:pt idx="3">
                  <c:v>Јануар</c:v>
                </c:pt>
                <c:pt idx="4">
                  <c:v>Фебруар</c:v>
                </c:pt>
                <c:pt idx="5">
                  <c:v>Март</c:v>
                </c:pt>
                <c:pt idx="6">
                  <c:v>Април</c:v>
                </c:pt>
              </c:strCache>
            </c:strRef>
          </c:cat>
          <c:val>
            <c:numRef>
              <c:f>'Губици;добици'!$B$376:$B$382</c:f>
              <c:numCache>
                <c:formatCode>General</c:formatCode>
                <c:ptCount val="7"/>
              </c:numCache>
            </c:numRef>
          </c:val>
        </c:ser>
        <c:ser>
          <c:idx val="1"/>
          <c:order val="1"/>
          <c:cat>
            <c:strRef>
              <c:f>'Губици;добици'!$A$376:$A$382</c:f>
              <c:strCache>
                <c:ptCount val="7"/>
                <c:pt idx="0">
                  <c:v>Октобар</c:v>
                </c:pt>
                <c:pt idx="1">
                  <c:v>Новeмбар</c:v>
                </c:pt>
                <c:pt idx="2">
                  <c:v>Децембар</c:v>
                </c:pt>
                <c:pt idx="3">
                  <c:v>Јануар</c:v>
                </c:pt>
                <c:pt idx="4">
                  <c:v>Фебруар</c:v>
                </c:pt>
                <c:pt idx="5">
                  <c:v>Март</c:v>
                </c:pt>
                <c:pt idx="6">
                  <c:v>Април</c:v>
                </c:pt>
              </c:strCache>
            </c:strRef>
          </c:cat>
          <c:val>
            <c:numRef>
              <c:f>'Губици;добици'!$C$376:$C$382</c:f>
              <c:numCache>
                <c:formatCode>0</c:formatCode>
                <c:ptCount val="7"/>
                <c:pt idx="0">
                  <c:v>2.5024383420769172</c:v>
                </c:pt>
                <c:pt idx="1">
                  <c:v>36.36326406107856</c:v>
                </c:pt>
                <c:pt idx="2">
                  <c:v>55.577674976459342</c:v>
                </c:pt>
                <c:pt idx="3">
                  <c:v>60.954373996046101</c:v>
                </c:pt>
                <c:pt idx="4">
                  <c:v>44.754867288445539</c:v>
                </c:pt>
                <c:pt idx="5">
                  <c:v>33.403008162302243</c:v>
                </c:pt>
                <c:pt idx="6">
                  <c:v>1.3929611281240524</c:v>
                </c:pt>
              </c:numCache>
            </c:numRef>
          </c:val>
        </c:ser>
        <c:ser>
          <c:idx val="2"/>
          <c:order val="2"/>
          <c:cat>
            <c:strRef>
              <c:f>'Губици;добици'!$A$376:$A$382</c:f>
              <c:strCache>
                <c:ptCount val="7"/>
                <c:pt idx="0">
                  <c:v>Октобар</c:v>
                </c:pt>
                <c:pt idx="1">
                  <c:v>Новeмбар</c:v>
                </c:pt>
                <c:pt idx="2">
                  <c:v>Децембар</c:v>
                </c:pt>
                <c:pt idx="3">
                  <c:v>Јануар</c:v>
                </c:pt>
                <c:pt idx="4">
                  <c:v>Фебруар</c:v>
                </c:pt>
                <c:pt idx="5">
                  <c:v>Март</c:v>
                </c:pt>
                <c:pt idx="6">
                  <c:v>Април</c:v>
                </c:pt>
              </c:strCache>
            </c:strRef>
          </c:cat>
          <c:val>
            <c:numRef>
              <c:f>'Губици;добици'!$D$376:$D$382</c:f>
              <c:numCache>
                <c:formatCode>0</c:formatCode>
                <c:ptCount val="7"/>
              </c:numCache>
            </c:numRef>
          </c:val>
        </c:ser>
        <c:axId val="98793344"/>
        <c:axId val="98794880"/>
      </c:barChart>
      <c:catAx>
        <c:axId val="98793344"/>
        <c:scaling>
          <c:orientation val="minMax"/>
        </c:scaling>
        <c:axPos val="b"/>
        <c:tickLblPos val="nextTo"/>
        <c:crossAx val="98794880"/>
        <c:crosses val="autoZero"/>
        <c:auto val="1"/>
        <c:lblAlgn val="ctr"/>
        <c:lblOffset val="100"/>
      </c:catAx>
      <c:valAx>
        <c:axId val="98794880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sr-Cyrl-RS" sz="1000" b="0" i="0" baseline="0"/>
                  <a:t>Месечна потрошња топлоте </a:t>
                </a:r>
                <a:r>
                  <a:rPr lang="fr-FR" sz="1000" b="0" i="0" baseline="0"/>
                  <a:t>[kWh/(m2month)]</a:t>
                </a:r>
                <a:endParaRPr lang="sr-Latn-RS" sz="1000" b="0" i="0" baseline="0"/>
              </a:p>
            </c:rich>
          </c:tx>
          <c:layout>
            <c:manualLayout>
              <c:xMode val="edge"/>
              <c:yMode val="edge"/>
              <c:x val="2.1376085504342019E-2"/>
              <c:y val="0.22449060336300689"/>
            </c:manualLayout>
          </c:layout>
        </c:title>
        <c:numFmt formatCode="General" sourceLinked="1"/>
        <c:tickLblPos val="nextTo"/>
        <c:crossAx val="98793344"/>
        <c:crosses val="autoZero"/>
        <c:crossBetween val="between"/>
      </c:valAx>
    </c:plotArea>
    <c:plotVisOnly val="1"/>
  </c:chart>
  <c:printSettings>
    <c:headerFooter/>
    <c:pageMargins b="0.75000000000000167" l="0.70000000000000062" r="0.70000000000000062" t="0.75000000000000167" header="0.30000000000000032" footer="0.30000000000000032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sr-Cyrl-RS" sz="1600" b="1" i="0" baseline="0"/>
              <a:t>Дијаграм годишње потрошње енергије за грејање</a:t>
            </a:r>
            <a:endParaRPr lang="sr-Latn-RS" sz="1600" b="1" i="0" baseline="0"/>
          </a:p>
        </c:rich>
      </c:tx>
      <c:layout>
        <c:manualLayout>
          <c:xMode val="edge"/>
          <c:yMode val="edge"/>
          <c:x val="0.18522291666666671"/>
          <c:y val="2.0263424518743672E-2"/>
        </c:manualLayout>
      </c:layout>
    </c:title>
    <c:plotArea>
      <c:layout/>
      <c:barChart>
        <c:barDir val="col"/>
        <c:grouping val="clustered"/>
        <c:ser>
          <c:idx val="0"/>
          <c:order val="0"/>
          <c:tx>
            <c:strRef>
              <c:f>'Губици;добици'!$A$383</c:f>
              <c:strCache>
                <c:ptCount val="1"/>
                <c:pt idx="0">
                  <c:v>Ʃ</c:v>
                </c:pt>
              </c:strCache>
            </c:strRef>
          </c:tx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Ref>
              <c:f>'Губици;добици'!$B$383:$D$383</c:f>
              <c:numCache>
                <c:formatCode>0</c:formatCode>
                <c:ptCount val="3"/>
                <c:pt idx="1">
                  <c:v>234.94858795453274</c:v>
                </c:pt>
              </c:numCache>
            </c:numRef>
          </c:val>
        </c:ser>
        <c:gapWidth val="0"/>
        <c:axId val="98808192"/>
        <c:axId val="98961280"/>
      </c:barChart>
      <c:catAx>
        <c:axId val="98808192"/>
        <c:scaling>
          <c:orientation val="minMax"/>
        </c:scaling>
        <c:delete val="1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sr-Cyrl-RS" sz="1000" b="1" i="0" u="none" strike="noStrike" baseline="0"/>
                  <a:t>Година</a:t>
                </a:r>
                <a:endParaRPr lang="en-US"/>
              </a:p>
            </c:rich>
          </c:tx>
          <c:layout>
            <c:manualLayout>
              <c:xMode val="edge"/>
              <c:yMode val="edge"/>
              <c:x val="0.53492465277777934"/>
              <c:y val="0.92162107396150172"/>
            </c:manualLayout>
          </c:layout>
        </c:title>
        <c:numFmt formatCode="General" sourceLinked="1"/>
        <c:tickLblPos val="nextTo"/>
        <c:crossAx val="98961280"/>
        <c:crosses val="autoZero"/>
        <c:auto val="1"/>
        <c:lblAlgn val="ctr"/>
        <c:lblOffset val="100"/>
      </c:catAx>
      <c:valAx>
        <c:axId val="98961280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sr-Cyrl-RS" sz="1200" b="0" i="0" baseline="0">
                    <a:latin typeface="+mn-lt"/>
                  </a:rPr>
                  <a:t>Годишња потрошња топлоте </a:t>
                </a:r>
                <a:r>
                  <a:rPr lang="fr-FR" sz="1200" b="0" i="0" baseline="0">
                    <a:latin typeface="+mn-lt"/>
                  </a:rPr>
                  <a:t>[kWh/(m2a)]</a:t>
                </a:r>
                <a:endParaRPr lang="sr-Latn-RS" sz="1200" b="0" i="0" baseline="0">
                  <a:latin typeface="+mn-lt"/>
                </a:endParaRPr>
              </a:p>
            </c:rich>
          </c:tx>
          <c:layout>
            <c:manualLayout>
              <c:xMode val="edge"/>
              <c:yMode val="edge"/>
              <c:x val="4.8506944444444484E-2"/>
              <c:y val="0.27728470111448977"/>
            </c:manualLayout>
          </c:layout>
        </c:title>
        <c:numFmt formatCode="General" sourceLinked="1"/>
        <c:tickLblPos val="nextTo"/>
        <c:crossAx val="98808192"/>
        <c:crosses val="autoZero"/>
        <c:crossBetween val="between"/>
      </c:valAx>
    </c:plotArea>
    <c:plotVisOnly val="1"/>
  </c:chart>
  <c:printSettings>
    <c:headerFooter/>
    <c:pageMargins b="0.75000000000000155" l="0.70000000000000062" r="0.70000000000000062" t="0.75000000000000155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0.11600877192982456"/>
          <c:y val="4.3322356475699875E-2"/>
          <c:w val="0.84530701754386073"/>
          <c:h val="0.6676074368081274"/>
        </c:manualLayout>
      </c:layout>
      <c:scatterChart>
        <c:scatterStyle val="lineMarker"/>
        <c:ser>
          <c:idx val="0"/>
          <c:order val="0"/>
          <c:spPr>
            <a:ln w="9525" cap="rnd">
              <a:solidFill>
                <a:schemeClr val="accent1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xVal>
            <c:numRef>
              <c:f>Дифузија!$J$39:$P$39</c:f>
              <c:numCache>
                <c:formatCode>General</c:formatCode>
                <c:ptCount val="7"/>
                <c:pt idx="1">
                  <c:v>0</c:v>
                </c:pt>
                <c:pt idx="2">
                  <c:v>0.2</c:v>
                </c:pt>
                <c:pt idx="3">
                  <c:v>1.95</c:v>
                </c:pt>
                <c:pt idx="4">
                  <c:v>2.5499999999999998</c:v>
                </c:pt>
                <c:pt idx="5">
                  <c:v>5</c:v>
                </c:pt>
              </c:numCache>
            </c:numRef>
          </c:xVal>
          <c:yVal>
            <c:numRef>
              <c:f>Дифузија!$J$40:$P$40</c:f>
              <c:numCache>
                <c:formatCode>General</c:formatCode>
                <c:ptCount val="7"/>
                <c:pt idx="1">
                  <c:v>1.5</c:v>
                </c:pt>
                <c:pt idx="2">
                  <c:v>1.38</c:v>
                </c:pt>
                <c:pt idx="3">
                  <c:v>0.69</c:v>
                </c:pt>
                <c:pt idx="4">
                  <c:v>0.65</c:v>
                </c:pt>
                <c:pt idx="5">
                  <c:v>0.48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0-642E-4069-BC6D-63CD72AB9B3F}"/>
            </c:ext>
          </c:extLst>
        </c:ser>
        <c:ser>
          <c:idx val="1"/>
          <c:order val="1"/>
          <c:spPr>
            <a:ln w="9525" cap="rnd">
              <a:solidFill>
                <a:schemeClr val="accent2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trendline>
            <c:spPr>
              <a:ln w="9525" cap="rnd">
                <a:solidFill>
                  <a:schemeClr val="accent2"/>
                </a:solidFill>
              </a:ln>
              <a:effectLst/>
            </c:spPr>
            <c:trendlineType val="linear"/>
          </c:trendline>
          <c:xVal>
            <c:numRef>
              <c:f>Дифузија!$J$39:$P$39</c:f>
              <c:numCache>
                <c:formatCode>General</c:formatCode>
                <c:ptCount val="7"/>
                <c:pt idx="1">
                  <c:v>0</c:v>
                </c:pt>
                <c:pt idx="2">
                  <c:v>0.2</c:v>
                </c:pt>
                <c:pt idx="3">
                  <c:v>1.95</c:v>
                </c:pt>
                <c:pt idx="4">
                  <c:v>2.5499999999999998</c:v>
                </c:pt>
                <c:pt idx="5">
                  <c:v>5</c:v>
                </c:pt>
              </c:numCache>
            </c:numRef>
          </c:xVal>
          <c:yVal>
            <c:numRef>
              <c:f>Дифузија!$J$42:$P$42</c:f>
              <c:numCache>
                <c:formatCode>General</c:formatCode>
                <c:ptCount val="7"/>
                <c:pt idx="1">
                  <c:v>1.2849999999999999</c:v>
                </c:pt>
                <c:pt idx="5">
                  <c:v>0.23799999999999999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1-642E-4069-BC6D-63CD72AB9B3F}"/>
            </c:ext>
          </c:extLst>
        </c:ser>
        <c:ser>
          <c:idx val="2"/>
          <c:order val="2"/>
          <c:marker>
            <c:symbol val="none"/>
          </c:marker>
          <c:xVal>
            <c:numRef>
              <c:f>Дифузија!$S$31:$S$32</c:f>
              <c:numCache>
                <c:formatCode>General</c:formatCode>
                <c:ptCount val="2"/>
                <c:pt idx="0">
                  <c:v>0.2</c:v>
                </c:pt>
                <c:pt idx="1">
                  <c:v>0.2</c:v>
                </c:pt>
              </c:numCache>
            </c:numRef>
          </c:xVal>
          <c:yVal>
            <c:numRef>
              <c:f>Дифузија!$R$31:$R$32</c:f>
              <c:numCache>
                <c:formatCode>General</c:formatCode>
                <c:ptCount val="2"/>
                <c:pt idx="0">
                  <c:v>0</c:v>
                </c:pt>
                <c:pt idx="1">
                  <c:v>1.6</c:v>
                </c:pt>
              </c:numCache>
            </c:numRef>
          </c:yVal>
        </c:ser>
        <c:ser>
          <c:idx val="3"/>
          <c:order val="3"/>
          <c:marker>
            <c:symbol val="none"/>
          </c:marker>
          <c:xVal>
            <c:numRef>
              <c:f>Дифузија!$S$33:$S$34</c:f>
              <c:numCache>
                <c:formatCode>General</c:formatCode>
                <c:ptCount val="2"/>
                <c:pt idx="0">
                  <c:v>1.95</c:v>
                </c:pt>
                <c:pt idx="1">
                  <c:v>1.95</c:v>
                </c:pt>
              </c:numCache>
            </c:numRef>
          </c:xVal>
          <c:yVal>
            <c:numRef>
              <c:f>Дифузија!$R$33:$R$34</c:f>
              <c:numCache>
                <c:formatCode>General</c:formatCode>
                <c:ptCount val="2"/>
                <c:pt idx="0">
                  <c:v>0</c:v>
                </c:pt>
                <c:pt idx="1">
                  <c:v>1.6</c:v>
                </c:pt>
              </c:numCache>
            </c:numRef>
          </c:yVal>
        </c:ser>
        <c:ser>
          <c:idx val="4"/>
          <c:order val="4"/>
          <c:marker>
            <c:symbol val="none"/>
          </c:marker>
          <c:xVal>
            <c:numRef>
              <c:f>Дифузија!$S$35:$S$36</c:f>
              <c:numCache>
                <c:formatCode>General</c:formatCode>
                <c:ptCount val="2"/>
                <c:pt idx="0">
                  <c:v>2.5499999999999998</c:v>
                </c:pt>
                <c:pt idx="1">
                  <c:v>2.5499999999999998</c:v>
                </c:pt>
              </c:numCache>
            </c:numRef>
          </c:xVal>
          <c:yVal>
            <c:numRef>
              <c:f>Дифузија!$R$35:$R$36</c:f>
              <c:numCache>
                <c:formatCode>General</c:formatCode>
                <c:ptCount val="2"/>
                <c:pt idx="0">
                  <c:v>0</c:v>
                </c:pt>
                <c:pt idx="1">
                  <c:v>1.6</c:v>
                </c:pt>
              </c:numCache>
            </c:numRef>
          </c:yVal>
        </c:ser>
        <c:ser>
          <c:idx val="5"/>
          <c:order val="5"/>
          <c:marker>
            <c:symbol val="none"/>
          </c:marker>
          <c:xVal>
            <c:numRef>
              <c:f>Дифузија!$S$37:$S$38</c:f>
              <c:numCache>
                <c:formatCode>General</c:formatCode>
                <c:ptCount val="2"/>
                <c:pt idx="0">
                  <c:v>5</c:v>
                </c:pt>
                <c:pt idx="1">
                  <c:v>5</c:v>
                </c:pt>
              </c:numCache>
            </c:numRef>
          </c:xVal>
          <c:yVal>
            <c:numRef>
              <c:f>Дифузија!$R$37:$R$38</c:f>
              <c:numCache>
                <c:formatCode>General</c:formatCode>
                <c:ptCount val="2"/>
                <c:pt idx="0">
                  <c:v>0</c:v>
                </c:pt>
                <c:pt idx="1">
                  <c:v>1.6</c:v>
                </c:pt>
              </c:numCache>
            </c:numRef>
          </c:yVal>
        </c:ser>
        <c:axId val="99397632"/>
        <c:axId val="99399552"/>
      </c:scatterChart>
      <c:valAx>
        <c:axId val="99397632"/>
        <c:scaling>
          <c:orientation val="minMax"/>
          <c:max val="6"/>
          <c:min val="0"/>
        </c:scaling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r[m]</a:t>
                </a:r>
              </a:p>
            </c:rich>
          </c:tx>
          <c:layout/>
        </c:title>
        <c:numFmt formatCode="General" sourceLinked="1"/>
        <c:maj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9399552"/>
        <c:crosses val="autoZero"/>
        <c:crossBetween val="midCat"/>
      </c:valAx>
      <c:valAx>
        <c:axId val="99399552"/>
        <c:scaling>
          <c:orientation val="minMax"/>
          <c:min val="0"/>
        </c:scaling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p[kPa]</a:t>
                </a:r>
              </a:p>
            </c:rich>
          </c:tx>
          <c:layout/>
        </c:title>
        <c:numFmt formatCode="General" sourceLinked="1"/>
        <c:maj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9397632"/>
        <c:crossesAt val="0"/>
        <c:crossBetween val="midCat"/>
      </c:valAx>
      <c:spPr>
        <a:noFill/>
        <a:ln>
          <a:noFill/>
        </a:ln>
        <a:effectLst/>
      </c:spPr>
    </c:plotArea>
    <c:plotVisOnly val="1"/>
    <c:dispBlanksAs val="gap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sr-Cyrl-RS" sz="1400" b="0" i="0" baseline="0"/>
              <a:t>Температурско поље у зидовима</a:t>
            </a:r>
            <a:endParaRPr lang="en-US" sz="1400"/>
          </a:p>
        </c:rich>
      </c:tx>
      <c:layout/>
    </c:title>
    <c:plotArea>
      <c:layout/>
      <c:scatterChart>
        <c:scatterStyle val="lineMarker"/>
        <c:ser>
          <c:idx val="0"/>
          <c:order val="0"/>
          <c:marker>
            <c:symbol val="none"/>
          </c:marker>
          <c:xVal>
            <c:numRef>
              <c:f>Дифузија!$R$22:$R$28</c:f>
              <c:numCache>
                <c:formatCode>General</c:formatCode>
                <c:ptCount val="7"/>
                <c:pt idx="0">
                  <c:v>-4.5</c:v>
                </c:pt>
                <c:pt idx="1">
                  <c:v>0</c:v>
                </c:pt>
                <c:pt idx="2">
                  <c:v>2</c:v>
                </c:pt>
                <c:pt idx="3">
                  <c:v>22</c:v>
                </c:pt>
                <c:pt idx="4">
                  <c:v>24</c:v>
                </c:pt>
                <c:pt idx="5">
                  <c:v>31</c:v>
                </c:pt>
                <c:pt idx="6">
                  <c:v>36</c:v>
                </c:pt>
              </c:numCache>
            </c:numRef>
          </c:xVal>
          <c:yVal>
            <c:numRef>
              <c:f>Дифузија!$S$22:$S$28</c:f>
              <c:numCache>
                <c:formatCode>0.00</c:formatCode>
                <c:ptCount val="7"/>
                <c:pt idx="0" formatCode="General">
                  <c:v>20</c:v>
                </c:pt>
                <c:pt idx="1">
                  <c:v>18.3819664778553</c:v>
                </c:pt>
                <c:pt idx="2">
                  <c:v>18.074647670230402</c:v>
                </c:pt>
                <c:pt idx="3">
                  <c:v>14.5185300391431</c:v>
                </c:pt>
                <c:pt idx="4">
                  <c:v>14.340724157588699</c:v>
                </c:pt>
                <c:pt idx="5">
                  <c:v>13.7121175056288</c:v>
                </c:pt>
                <c:pt idx="6">
                  <c:v>-5</c:v>
                </c:pt>
              </c:numCache>
            </c:numRef>
          </c:yVal>
        </c:ser>
        <c:ser>
          <c:idx val="1"/>
          <c:order val="1"/>
          <c:marker>
            <c:symbol val="none"/>
          </c:marker>
          <c:xVal>
            <c:numRef>
              <c:f>Дифузија!$S$10:$S$11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Дифузија!$R$10:$R$11</c:f>
              <c:numCache>
                <c:formatCode>General</c:formatCode>
                <c:ptCount val="2"/>
                <c:pt idx="0">
                  <c:v>-10</c:v>
                </c:pt>
                <c:pt idx="1">
                  <c:v>25</c:v>
                </c:pt>
              </c:numCache>
            </c:numRef>
          </c:yVal>
        </c:ser>
        <c:ser>
          <c:idx val="2"/>
          <c:order val="2"/>
          <c:marker>
            <c:symbol val="none"/>
          </c:marker>
          <c:xVal>
            <c:numRef>
              <c:f>Дифузија!$S$12:$S$13</c:f>
              <c:numCache>
                <c:formatCode>General</c:formatCode>
                <c:ptCount val="2"/>
                <c:pt idx="0">
                  <c:v>2</c:v>
                </c:pt>
                <c:pt idx="1">
                  <c:v>2</c:v>
                </c:pt>
              </c:numCache>
            </c:numRef>
          </c:xVal>
          <c:yVal>
            <c:numRef>
              <c:f>Дифузија!$R$12:$R$13</c:f>
              <c:numCache>
                <c:formatCode>General</c:formatCode>
                <c:ptCount val="2"/>
                <c:pt idx="0">
                  <c:v>-10</c:v>
                </c:pt>
                <c:pt idx="1">
                  <c:v>25</c:v>
                </c:pt>
              </c:numCache>
            </c:numRef>
          </c:yVal>
        </c:ser>
        <c:ser>
          <c:idx val="3"/>
          <c:order val="3"/>
          <c:marker>
            <c:symbol val="none"/>
          </c:marker>
          <c:xVal>
            <c:numRef>
              <c:f>Дифузија!$S$14:$S$15</c:f>
              <c:numCache>
                <c:formatCode>General</c:formatCode>
                <c:ptCount val="2"/>
                <c:pt idx="0">
                  <c:v>22</c:v>
                </c:pt>
                <c:pt idx="1">
                  <c:v>22</c:v>
                </c:pt>
              </c:numCache>
            </c:numRef>
          </c:xVal>
          <c:yVal>
            <c:numRef>
              <c:f>Дифузија!$R$14:$R$15</c:f>
              <c:numCache>
                <c:formatCode>General</c:formatCode>
                <c:ptCount val="2"/>
                <c:pt idx="0">
                  <c:v>-10</c:v>
                </c:pt>
                <c:pt idx="1">
                  <c:v>25</c:v>
                </c:pt>
              </c:numCache>
            </c:numRef>
          </c:yVal>
        </c:ser>
        <c:ser>
          <c:idx val="4"/>
          <c:order val="4"/>
          <c:marker>
            <c:symbol val="none"/>
          </c:marker>
          <c:xVal>
            <c:numRef>
              <c:f>Дифузија!$S$16:$S$17</c:f>
              <c:numCache>
                <c:formatCode>General</c:formatCode>
                <c:ptCount val="2"/>
                <c:pt idx="0">
                  <c:v>24</c:v>
                </c:pt>
                <c:pt idx="1">
                  <c:v>24</c:v>
                </c:pt>
              </c:numCache>
            </c:numRef>
          </c:xVal>
          <c:yVal>
            <c:numRef>
              <c:f>Дифузија!$R$16:$R$17</c:f>
              <c:numCache>
                <c:formatCode>General</c:formatCode>
                <c:ptCount val="2"/>
                <c:pt idx="0">
                  <c:v>-10</c:v>
                </c:pt>
                <c:pt idx="1">
                  <c:v>25</c:v>
                </c:pt>
              </c:numCache>
            </c:numRef>
          </c:yVal>
        </c:ser>
        <c:ser>
          <c:idx val="5"/>
          <c:order val="5"/>
          <c:marker>
            <c:symbol val="none"/>
          </c:marker>
          <c:xVal>
            <c:numRef>
              <c:f>Дифузија!$S$18:$S$19</c:f>
              <c:numCache>
                <c:formatCode>General</c:formatCode>
                <c:ptCount val="2"/>
                <c:pt idx="0">
                  <c:v>31</c:v>
                </c:pt>
                <c:pt idx="1">
                  <c:v>31</c:v>
                </c:pt>
              </c:numCache>
            </c:numRef>
          </c:xVal>
          <c:yVal>
            <c:numRef>
              <c:f>Дифузија!$R$18:$R$19</c:f>
              <c:numCache>
                <c:formatCode>General</c:formatCode>
                <c:ptCount val="2"/>
                <c:pt idx="0">
                  <c:v>-10</c:v>
                </c:pt>
                <c:pt idx="1">
                  <c:v>25</c:v>
                </c:pt>
              </c:numCache>
            </c:numRef>
          </c:yVal>
        </c:ser>
        <c:axId val="98324480"/>
        <c:axId val="98326400"/>
      </c:scatterChart>
      <c:valAx>
        <c:axId val="98324480"/>
        <c:scaling>
          <c:orientation val="minMax"/>
          <c:max val="40"/>
          <c:min val="-5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>
                    <a:latin typeface="Calibri"/>
                  </a:rPr>
                  <a:t>δ</a:t>
                </a:r>
                <a:r>
                  <a:rPr lang="en-US"/>
                  <a:t>[cm]</a:t>
                </a:r>
              </a:p>
            </c:rich>
          </c:tx>
          <c:layout/>
        </c:title>
        <c:numFmt formatCode="General" sourceLinked="1"/>
        <c:tickLblPos val="nextTo"/>
        <c:crossAx val="98326400"/>
        <c:crossesAt val="0"/>
        <c:crossBetween val="midCat"/>
        <c:majorUnit val="5"/>
        <c:minorUnit val="2"/>
      </c:valAx>
      <c:valAx>
        <c:axId val="98326400"/>
        <c:scaling>
          <c:orientation val="minMax"/>
          <c:max val="26"/>
          <c:min val="-1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 sz="1100" b="1" i="0" baseline="0"/>
                  <a:t>θdif [°C]</a:t>
                </a:r>
                <a:endParaRPr lang="en-US" sz="1100" b="1"/>
              </a:p>
            </c:rich>
          </c:tx>
          <c:layout/>
        </c:title>
        <c:numFmt formatCode="General" sourceLinked="1"/>
        <c:tickLblPos val="nextTo"/>
        <c:crossAx val="98324480"/>
        <c:crossesAt val="-5"/>
        <c:crossBetween val="midCat"/>
      </c:valAx>
    </c:plotArea>
    <c:plotVisOnly val="1"/>
  </c:chart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800100</xdr:colOff>
      <xdr:row>374</xdr:row>
      <xdr:rowOff>180975</xdr:rowOff>
    </xdr:from>
    <xdr:to>
      <xdr:col>10</xdr:col>
      <xdr:colOff>295275</xdr:colOff>
      <xdr:row>390</xdr:row>
      <xdr:rowOff>161925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38100</xdr:colOff>
      <xdr:row>374</xdr:row>
      <xdr:rowOff>219074</xdr:rowOff>
    </xdr:from>
    <xdr:to>
      <xdr:col>15</xdr:col>
      <xdr:colOff>60600</xdr:colOff>
      <xdr:row>390</xdr:row>
      <xdr:rowOff>123824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0.50208</cdr:x>
      <cdr:y>0</cdr:y>
    </cdr:from>
    <cdr:to>
      <cdr:x>0.51208</cdr:x>
      <cdr:y>0.15972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2295525" y="-457200"/>
          <a:ext cx="45719" cy="4381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448235</xdr:colOff>
      <xdr:row>20</xdr:row>
      <xdr:rowOff>116541</xdr:rowOff>
    </xdr:from>
    <xdr:to>
      <xdr:col>16</xdr:col>
      <xdr:colOff>157369</xdr:colOff>
      <xdr:row>35</xdr:row>
      <xdr:rowOff>140805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546651</xdr:colOff>
      <xdr:row>6</xdr:row>
      <xdr:rowOff>49696</xdr:rowOff>
    </xdr:from>
    <xdr:to>
      <xdr:col>16</xdr:col>
      <xdr:colOff>546651</xdr:colOff>
      <xdr:row>20</xdr:row>
      <xdr:rowOff>0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_rels/theme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rek">
  <a:themeElements>
    <a:clrScheme name="Trek">
      <a:dk1>
        <a:sysClr val="windowText" lastClr="000000"/>
      </a:dk1>
      <a:lt1>
        <a:sysClr val="window" lastClr="FFFFFF"/>
      </a:lt1>
      <a:dk2>
        <a:srgbClr val="4E3B30"/>
      </a:dk2>
      <a:lt2>
        <a:srgbClr val="FBEEC9"/>
      </a:lt2>
      <a:accent1>
        <a:srgbClr val="F0A22E"/>
      </a:accent1>
      <a:accent2>
        <a:srgbClr val="A5644E"/>
      </a:accent2>
      <a:accent3>
        <a:srgbClr val="B58B80"/>
      </a:accent3>
      <a:accent4>
        <a:srgbClr val="C3986D"/>
      </a:accent4>
      <a:accent5>
        <a:srgbClr val="A19574"/>
      </a:accent5>
      <a:accent6>
        <a:srgbClr val="C17529"/>
      </a:accent6>
      <a:hlink>
        <a:srgbClr val="AD1F1F"/>
      </a:hlink>
      <a:folHlink>
        <a:srgbClr val="FFC42F"/>
      </a:folHlink>
    </a:clrScheme>
    <a:fontScheme name="Trek">
      <a:majorFont>
        <a:latin typeface="Franklin Gothic Medium"/>
        <a:ea typeface=""/>
        <a:cs typeface=""/>
        <a:font script="Jpan" typeface="HG創英角ｺﾞｼｯｸUB"/>
        <a:font script="Hang" typeface="돋움"/>
        <a:font script="Hans" typeface="隶书"/>
        <a:font script="Hant" typeface="微軟正黑體"/>
        <a:font script="Arab" typeface="Tahoma"/>
        <a:font script="Hebr" typeface="Aharoni"/>
        <a:font script="Thai" typeface="Lily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ajorFont>
      <a:minorFont>
        <a:latin typeface="Franklin Gothic Book"/>
        <a:ea typeface=""/>
        <a:cs typeface=""/>
        <a:font script="Jpan" typeface="HGｺﾞｼｯｸE"/>
        <a:font script="Hang" typeface="돋움"/>
        <a:font script="Hans" typeface="华文楷体"/>
        <a:font script="Hant" typeface="微軟正黑體"/>
        <a:font script="Arab" typeface="Tahoma"/>
        <a:font script="Hebr" typeface="Aharoni"/>
        <a:font script="Thai" typeface="Lily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</a:minorFont>
    </a:fontScheme>
    <a:fmtScheme name="Trek">
      <a:fillStyleLst>
        <a:solidFill>
          <a:schemeClr val="phClr"/>
        </a:solidFill>
        <a:gradFill rotWithShape="1">
          <a:gsLst>
            <a:gs pos="0">
              <a:schemeClr val="phClr">
                <a:tint val="30000"/>
                <a:satMod val="250000"/>
              </a:schemeClr>
            </a:gs>
            <a:gs pos="72000">
              <a:schemeClr val="phClr">
                <a:tint val="75000"/>
                <a:satMod val="210000"/>
              </a:schemeClr>
            </a:gs>
            <a:gs pos="100000">
              <a:schemeClr val="phClr">
                <a:tint val="85000"/>
                <a:satMod val="210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tint val="75000"/>
                <a:shade val="85000"/>
                <a:satMod val="230000"/>
              </a:schemeClr>
            </a:gs>
            <a:gs pos="25000">
              <a:schemeClr val="phClr">
                <a:tint val="90000"/>
                <a:shade val="70000"/>
                <a:satMod val="220000"/>
              </a:schemeClr>
            </a:gs>
            <a:gs pos="50000">
              <a:schemeClr val="phClr">
                <a:tint val="90000"/>
                <a:shade val="58000"/>
                <a:satMod val="225000"/>
              </a:schemeClr>
            </a:gs>
            <a:gs pos="65000">
              <a:schemeClr val="phClr">
                <a:tint val="90000"/>
                <a:shade val="58000"/>
                <a:satMod val="225000"/>
              </a:schemeClr>
            </a:gs>
            <a:gs pos="80000">
              <a:schemeClr val="phClr">
                <a:tint val="90000"/>
                <a:shade val="69000"/>
                <a:satMod val="220000"/>
              </a:schemeClr>
            </a:gs>
            <a:gs pos="100000">
              <a:schemeClr val="phClr">
                <a:tint val="77000"/>
                <a:shade val="80000"/>
                <a:satMod val="230000"/>
              </a:schemeClr>
            </a:gs>
          </a:gsLst>
          <a:lin ang="5400000" scaled="1"/>
        </a:gradFill>
      </a:fillStyleLst>
      <a:lnStyleLst>
        <a:ln w="1000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</a:effectStyle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threePt" dir="tl">
              <a:rot lat="0" lon="0" rev="0"/>
            </a:lightRig>
          </a:scene3d>
          <a:sp3d prstMaterial="metal">
            <a:bevelT w="10000" h="10000"/>
          </a:sp3d>
        </a:effectStyle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  <a:scene3d>
            <a:camera prst="obliqueTopLeft" fov="600000">
              <a:rot lat="0" lon="0" rev="0"/>
            </a:camera>
            <a:lightRig rig="balanced" dir="t">
              <a:rot lat="0" lon="0" rev="19200000"/>
            </a:lightRig>
          </a:scene3d>
          <a:sp3d contourW="12700" prstMaterial="matte">
            <a:bevelT w="60000" h="50800"/>
            <a:contourClr>
              <a:schemeClr val="phClr">
                <a:shade val="60000"/>
                <a:satMod val="110000"/>
              </a:schemeClr>
            </a:contourClr>
          </a:sp3d>
        </a:effectStyle>
      </a:effectStyleLst>
      <a:bg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shade val="90000"/>
                <a:satMod val="150000"/>
              </a:schemeClr>
              <a:schemeClr val="phClr">
                <a:tint val="88000"/>
                <a:satMod val="105000"/>
              </a:schemeClr>
            </a:duotone>
          </a:blip>
          <a:tile tx="0" ty="0" sx="95000" sy="95000" flip="none" algn="t"/>
        </a:blipFill>
        <a:blipFill>
          <a:blip xmlns:r="http://schemas.openxmlformats.org/officeDocument/2006/relationships" r:embed="rId2">
            <a:duotone>
              <a:schemeClr val="phClr">
                <a:shade val="30000"/>
                <a:satMod val="455000"/>
              </a:schemeClr>
              <a:schemeClr val="phClr">
                <a:tint val="95000"/>
                <a:satMod val="120000"/>
              </a:schemeClr>
            </a:duotone>
          </a:blip>
          <a:stretch>
            <a:fillRect/>
          </a:stretch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568"/>
  <sheetViews>
    <sheetView workbookViewId="0">
      <selection activeCell="B451" sqref="B451"/>
    </sheetView>
  </sheetViews>
  <sheetFormatPr defaultRowHeight="15"/>
  <cols>
    <col min="1" max="1" width="13.21875" style="10" customWidth="1"/>
    <col min="2" max="2" width="7.33203125" style="10" customWidth="1"/>
    <col min="3" max="4" width="5.77734375" style="10" customWidth="1"/>
    <col min="5" max="5" width="6.77734375" style="10" customWidth="1"/>
    <col min="6" max="9" width="5.77734375" style="10" customWidth="1"/>
    <col min="10" max="10" width="7.109375" style="10" customWidth="1"/>
    <col min="11" max="11" width="5.77734375" style="10" customWidth="1"/>
    <col min="12" max="12" width="6.5546875" style="10" customWidth="1"/>
    <col min="13" max="13" width="7.33203125" style="10" customWidth="1"/>
    <col min="14" max="24" width="5.77734375" style="10" customWidth="1"/>
    <col min="25" max="16384" width="8.88671875" style="10"/>
  </cols>
  <sheetData>
    <row r="1" spans="1:9" ht="18">
      <c r="A1" s="6" t="s">
        <v>171</v>
      </c>
      <c r="B1" s="6">
        <v>227</v>
      </c>
      <c r="C1" s="7"/>
      <c r="D1" s="8" t="s">
        <v>172</v>
      </c>
      <c r="E1" s="6">
        <v>-14.5</v>
      </c>
      <c r="F1" s="9"/>
      <c r="G1" s="9"/>
      <c r="H1" s="9"/>
      <c r="I1" s="9"/>
    </row>
    <row r="2" spans="1:9">
      <c r="A2" s="6" t="s">
        <v>0</v>
      </c>
      <c r="B2" s="6" t="s">
        <v>109</v>
      </c>
      <c r="C2" s="7"/>
      <c r="D2" s="9"/>
      <c r="E2" s="9"/>
      <c r="F2" s="9"/>
      <c r="G2" s="9"/>
      <c r="H2" s="9"/>
      <c r="I2" s="9"/>
    </row>
    <row r="3" spans="1:9">
      <c r="A3" s="6" t="s">
        <v>1</v>
      </c>
      <c r="B3" s="6">
        <v>2613</v>
      </c>
      <c r="C3" s="7"/>
      <c r="D3" s="11"/>
      <c r="E3" s="11"/>
      <c r="F3" s="11"/>
      <c r="G3" s="11"/>
      <c r="H3" s="11"/>
      <c r="I3" s="11"/>
    </row>
    <row r="4" spans="1:9">
      <c r="A4" s="6" t="s">
        <v>2</v>
      </c>
      <c r="B4" s="6">
        <v>179</v>
      </c>
      <c r="C4" s="7"/>
      <c r="D4" s="11"/>
      <c r="E4" s="11"/>
      <c r="F4" s="11"/>
      <c r="G4" s="11"/>
      <c r="H4" s="11"/>
      <c r="I4" s="11"/>
    </row>
    <row r="5" spans="1:9" ht="16.5">
      <c r="A5" s="8" t="s">
        <v>173</v>
      </c>
      <c r="B5" s="6">
        <v>5.4</v>
      </c>
      <c r="C5" s="7"/>
      <c r="D5" s="11"/>
      <c r="E5" s="11"/>
      <c r="F5" s="11"/>
      <c r="G5" s="11"/>
      <c r="H5" s="11"/>
      <c r="I5" s="11"/>
    </row>
    <row r="6" spans="1:9" ht="16.5">
      <c r="A6" s="8" t="s">
        <v>174</v>
      </c>
      <c r="B6" s="12">
        <v>20</v>
      </c>
      <c r="C6" s="7"/>
      <c r="D6" s="11"/>
      <c r="E6" s="11"/>
      <c r="F6" s="11"/>
      <c r="G6" s="11"/>
      <c r="H6" s="11"/>
      <c r="I6" s="11"/>
    </row>
    <row r="7" spans="1:9">
      <c r="A7" s="6" t="s">
        <v>3</v>
      </c>
      <c r="B7" s="235" t="s">
        <v>108</v>
      </c>
      <c r="C7" s="235"/>
      <c r="D7" s="11"/>
      <c r="E7" s="11"/>
      <c r="F7" s="11"/>
      <c r="G7" s="11"/>
      <c r="H7" s="11"/>
      <c r="I7" s="11"/>
    </row>
    <row r="8" spans="1:9">
      <c r="A8" s="231" t="s">
        <v>4</v>
      </c>
      <c r="B8" s="235" t="s">
        <v>107</v>
      </c>
      <c r="C8" s="235"/>
      <c r="D8" s="11"/>
      <c r="E8" s="11"/>
      <c r="F8" s="11"/>
      <c r="G8" s="11"/>
      <c r="H8" s="11"/>
      <c r="I8" s="11"/>
    </row>
    <row r="9" spans="1:9" ht="15.75" thickBot="1">
      <c r="A9" s="243"/>
      <c r="B9" s="235"/>
      <c r="C9" s="235"/>
      <c r="D9" s="11"/>
      <c r="E9" s="11"/>
      <c r="F9" s="11"/>
      <c r="G9" s="11"/>
      <c r="H9" s="11"/>
      <c r="I9" s="11"/>
    </row>
    <row r="10" spans="1:9">
      <c r="A10" s="9"/>
      <c r="B10" s="9"/>
      <c r="C10" s="9"/>
      <c r="D10" s="11"/>
      <c r="E10" s="11"/>
      <c r="F10" s="11"/>
      <c r="G10" s="11"/>
      <c r="H10" s="11"/>
      <c r="I10" s="11"/>
    </row>
    <row r="11" spans="1:9">
      <c r="A11" s="9"/>
      <c r="B11" s="9"/>
      <c r="C11" s="9"/>
      <c r="D11" s="11"/>
      <c r="E11" s="11"/>
      <c r="F11" s="11"/>
      <c r="G11" s="11"/>
      <c r="H11" s="11"/>
      <c r="I11" s="11"/>
    </row>
    <row r="12" spans="1:9">
      <c r="A12" s="9"/>
      <c r="B12" s="9"/>
      <c r="C12" s="9"/>
      <c r="D12" s="11"/>
      <c r="E12" s="11"/>
      <c r="F12" s="11"/>
      <c r="G12" s="11"/>
      <c r="H12" s="11"/>
      <c r="I12" s="11"/>
    </row>
    <row r="13" spans="1:9">
      <c r="A13" s="9"/>
      <c r="B13" s="9"/>
      <c r="C13" s="9"/>
      <c r="D13" s="11"/>
      <c r="E13" s="11"/>
      <c r="F13" s="11"/>
      <c r="G13" s="11"/>
      <c r="H13" s="11"/>
      <c r="I13" s="11"/>
    </row>
    <row r="14" spans="1:9">
      <c r="A14" s="235" t="s">
        <v>31</v>
      </c>
      <c r="B14" s="235"/>
      <c r="C14" s="235"/>
      <c r="D14" s="235"/>
      <c r="E14" s="235"/>
      <c r="F14" s="235"/>
      <c r="G14" s="9"/>
      <c r="H14" s="9"/>
      <c r="I14" s="9"/>
    </row>
    <row r="15" spans="1:9">
      <c r="A15" s="235"/>
      <c r="B15" s="235"/>
      <c r="C15" s="235"/>
      <c r="D15" s="235"/>
      <c r="E15" s="235"/>
      <c r="F15" s="235"/>
      <c r="G15" s="9"/>
      <c r="H15" s="9"/>
      <c r="I15" s="9"/>
    </row>
    <row r="16" spans="1:9" ht="16.5">
      <c r="A16" s="13" t="s">
        <v>175</v>
      </c>
      <c r="B16" s="14">
        <v>2.75</v>
      </c>
      <c r="C16" s="244" t="s">
        <v>32</v>
      </c>
      <c r="D16" s="245"/>
      <c r="E16" s="245"/>
      <c r="F16" s="246"/>
      <c r="G16" s="9"/>
      <c r="H16" s="9"/>
      <c r="I16" s="9"/>
    </row>
    <row r="17" spans="1:13" ht="18">
      <c r="A17" s="15" t="s">
        <v>176</v>
      </c>
      <c r="B17" s="6">
        <v>227</v>
      </c>
      <c r="C17" s="143" t="s">
        <v>33</v>
      </c>
      <c r="D17" s="202"/>
      <c r="E17" s="202"/>
      <c r="F17" s="203"/>
      <c r="G17" s="9"/>
      <c r="H17" s="9"/>
      <c r="I17" s="9"/>
    </row>
    <row r="18" spans="1:13" ht="18">
      <c r="A18" s="15" t="s">
        <v>177</v>
      </c>
      <c r="B18" s="6">
        <f>B16*B17</f>
        <v>624.25</v>
      </c>
      <c r="C18" s="143" t="s">
        <v>34</v>
      </c>
      <c r="D18" s="202"/>
      <c r="E18" s="202"/>
      <c r="F18" s="203"/>
      <c r="G18" s="9"/>
      <c r="H18" s="9"/>
      <c r="I18" s="9"/>
    </row>
    <row r="19" spans="1:13" ht="16.5">
      <c r="A19" s="15" t="s">
        <v>178</v>
      </c>
      <c r="B19" s="6">
        <v>3.06</v>
      </c>
      <c r="C19" s="143" t="s">
        <v>35</v>
      </c>
      <c r="D19" s="202"/>
      <c r="E19" s="202"/>
      <c r="F19" s="203"/>
      <c r="G19" s="9"/>
      <c r="H19" s="9"/>
      <c r="I19" s="9"/>
    </row>
    <row r="20" spans="1:13" ht="18">
      <c r="A20" s="15" t="s">
        <v>179</v>
      </c>
      <c r="B20" s="6">
        <v>381</v>
      </c>
      <c r="C20" s="143" t="s">
        <v>36</v>
      </c>
      <c r="D20" s="202"/>
      <c r="E20" s="202"/>
      <c r="F20" s="203"/>
      <c r="G20" s="9"/>
      <c r="H20" s="9"/>
      <c r="I20" s="9"/>
    </row>
    <row r="21" spans="1:13" ht="18">
      <c r="A21" s="15" t="s">
        <v>180</v>
      </c>
      <c r="B21" s="6">
        <f>B19*B20</f>
        <v>1165.8600000000001</v>
      </c>
      <c r="C21" s="143" t="s">
        <v>37</v>
      </c>
      <c r="D21" s="202"/>
      <c r="E21" s="202"/>
      <c r="F21" s="203"/>
      <c r="G21" s="9"/>
      <c r="H21" s="9"/>
      <c r="I21" s="9"/>
    </row>
    <row r="22" spans="1:13" ht="18">
      <c r="A22" s="15" t="s">
        <v>181</v>
      </c>
      <c r="B22" s="6">
        <v>334</v>
      </c>
      <c r="C22" s="143" t="s">
        <v>38</v>
      </c>
      <c r="D22" s="202"/>
      <c r="E22" s="202"/>
      <c r="F22" s="203"/>
      <c r="G22" s="9"/>
      <c r="H22" s="9"/>
      <c r="I22" s="9"/>
    </row>
    <row r="23" spans="1:13" ht="18">
      <c r="A23" s="15" t="s">
        <v>182</v>
      </c>
      <c r="B23" s="16">
        <f>B22/B21</f>
        <v>0.28648379736846619</v>
      </c>
      <c r="C23" s="143" t="s">
        <v>39</v>
      </c>
      <c r="D23" s="202"/>
      <c r="E23" s="202"/>
      <c r="F23" s="203"/>
      <c r="G23" s="9"/>
      <c r="H23" s="9"/>
      <c r="I23" s="9"/>
    </row>
    <row r="24" spans="1:13" ht="15.75" thickBot="1">
      <c r="A24" s="17" t="s">
        <v>40</v>
      </c>
      <c r="B24" s="18">
        <v>21.61</v>
      </c>
      <c r="C24" s="247" t="s">
        <v>41</v>
      </c>
      <c r="D24" s="248"/>
      <c r="E24" s="248"/>
      <c r="F24" s="249"/>
      <c r="G24" s="9"/>
      <c r="H24" s="9"/>
      <c r="I24" s="9"/>
    </row>
    <row r="25" spans="1:13">
      <c r="A25" s="9"/>
      <c r="B25" s="9"/>
      <c r="C25" s="9"/>
      <c r="D25" s="9"/>
      <c r="E25" s="9"/>
      <c r="F25" s="9"/>
      <c r="G25" s="9"/>
      <c r="H25" s="9"/>
      <c r="I25" s="9"/>
    </row>
    <row r="26" spans="1:13">
      <c r="A26" s="9"/>
      <c r="B26" s="9"/>
      <c r="C26" s="9"/>
      <c r="D26" s="9"/>
      <c r="E26" s="9"/>
      <c r="F26" s="9"/>
      <c r="G26" s="9"/>
      <c r="H26" s="9"/>
      <c r="I26" s="9"/>
    </row>
    <row r="27" spans="1:13">
      <c r="A27" s="9"/>
      <c r="B27" s="9"/>
      <c r="C27" s="9"/>
      <c r="D27" s="9"/>
      <c r="E27" s="9"/>
      <c r="F27" s="9"/>
      <c r="G27" s="9"/>
      <c r="H27" s="9"/>
      <c r="I27" s="9"/>
    </row>
    <row r="28" spans="1:13" ht="32.25" customHeight="1">
      <c r="A28" s="173" t="s">
        <v>42</v>
      </c>
      <c r="B28" s="173"/>
      <c r="C28" s="173"/>
      <c r="D28" s="173"/>
      <c r="E28" s="173"/>
      <c r="F28" s="173"/>
      <c r="G28" s="173"/>
      <c r="H28" s="173"/>
      <c r="I28" s="173"/>
    </row>
    <row r="29" spans="1:13">
      <c r="A29" s="235" t="s">
        <v>43</v>
      </c>
      <c r="B29" s="235"/>
      <c r="C29" s="235"/>
      <c r="D29" s="235"/>
      <c r="E29" s="235"/>
      <c r="F29" s="235"/>
      <c r="G29" s="235"/>
      <c r="H29" s="235"/>
      <c r="I29" s="235"/>
    </row>
    <row r="30" spans="1:13" ht="63" customHeight="1">
      <c r="A30" s="173" t="s">
        <v>44</v>
      </c>
      <c r="B30" s="173"/>
      <c r="C30" s="173"/>
      <c r="D30" s="6" t="s">
        <v>23</v>
      </c>
      <c r="E30" s="19" t="s">
        <v>183</v>
      </c>
      <c r="F30" s="19" t="s">
        <v>184</v>
      </c>
      <c r="G30" s="6" t="s">
        <v>185</v>
      </c>
      <c r="H30" s="143" t="s">
        <v>186</v>
      </c>
      <c r="I30" s="144"/>
    </row>
    <row r="31" spans="1:13">
      <c r="A31" s="143" t="s">
        <v>5</v>
      </c>
      <c r="B31" s="202"/>
      <c r="C31" s="144"/>
      <c r="D31" s="19" t="s">
        <v>6</v>
      </c>
      <c r="E31" s="20">
        <v>1.95</v>
      </c>
      <c r="F31" s="6">
        <v>173</v>
      </c>
      <c r="G31" s="6">
        <v>1</v>
      </c>
      <c r="H31" s="256">
        <f>E31*F31*G31</f>
        <v>337.34999999999997</v>
      </c>
      <c r="I31" s="257"/>
      <c r="K31" s="21"/>
      <c r="L31" s="21"/>
      <c r="M31" s="21"/>
    </row>
    <row r="32" spans="1:13">
      <c r="A32" s="204" t="s">
        <v>100</v>
      </c>
      <c r="B32" s="205"/>
      <c r="C32" s="207"/>
      <c r="D32" s="19" t="s">
        <v>101</v>
      </c>
      <c r="E32" s="20">
        <v>0.75</v>
      </c>
      <c r="F32" s="6">
        <v>108</v>
      </c>
      <c r="G32" s="6">
        <v>0.6</v>
      </c>
      <c r="H32" s="256">
        <f>E32*F32*G32</f>
        <v>48.6</v>
      </c>
      <c r="I32" s="257"/>
    </row>
    <row r="33" spans="1:11">
      <c r="A33" s="204" t="s">
        <v>102</v>
      </c>
      <c r="B33" s="205"/>
      <c r="C33" s="207"/>
      <c r="D33" s="19" t="s">
        <v>103</v>
      </c>
      <c r="E33" s="20">
        <v>2.46</v>
      </c>
      <c r="F33" s="6">
        <v>94.86</v>
      </c>
      <c r="G33" s="6">
        <v>0.8</v>
      </c>
      <c r="H33" s="256">
        <f>E33*F33*G33</f>
        <v>186.68448000000001</v>
      </c>
      <c r="I33" s="257"/>
    </row>
    <row r="34" spans="1:11">
      <c r="A34" s="204" t="s">
        <v>99</v>
      </c>
      <c r="B34" s="205"/>
      <c r="C34" s="207"/>
      <c r="D34" s="19" t="s">
        <v>13</v>
      </c>
      <c r="E34" s="20">
        <v>1.5</v>
      </c>
      <c r="F34" s="6">
        <v>10.17</v>
      </c>
      <c r="G34" s="6">
        <v>0.5</v>
      </c>
      <c r="H34" s="256">
        <f>E34*F34*G34</f>
        <v>7.6274999999999995</v>
      </c>
      <c r="I34" s="257"/>
    </row>
    <row r="35" spans="1:11">
      <c r="A35" s="211" t="s">
        <v>25</v>
      </c>
      <c r="B35" s="236"/>
      <c r="C35" s="237"/>
      <c r="D35" s="231" t="s">
        <v>13</v>
      </c>
      <c r="E35" s="233">
        <v>1.81</v>
      </c>
      <c r="F35" s="235">
        <v>11.46</v>
      </c>
      <c r="G35" s="235">
        <v>0.5</v>
      </c>
      <c r="H35" s="226">
        <f>E35*F35*G35</f>
        <v>10.371300000000002</v>
      </c>
      <c r="I35" s="226"/>
    </row>
    <row r="36" spans="1:11">
      <c r="A36" s="238"/>
      <c r="B36" s="239"/>
      <c r="C36" s="240"/>
      <c r="D36" s="232"/>
      <c r="E36" s="234"/>
      <c r="F36" s="235"/>
      <c r="G36" s="235"/>
      <c r="H36" s="226"/>
      <c r="I36" s="226"/>
    </row>
    <row r="37" spans="1:11">
      <c r="A37" s="211" t="s">
        <v>26</v>
      </c>
      <c r="B37" s="236"/>
      <c r="C37" s="237"/>
      <c r="D37" s="231" t="s">
        <v>27</v>
      </c>
      <c r="E37" s="233">
        <v>1.95</v>
      </c>
      <c r="F37" s="235">
        <v>49.4</v>
      </c>
      <c r="G37" s="235">
        <v>0.5</v>
      </c>
      <c r="H37" s="226">
        <f>E37*F37*G37</f>
        <v>48.164999999999999</v>
      </c>
      <c r="I37" s="226"/>
    </row>
    <row r="38" spans="1:11">
      <c r="A38" s="238"/>
      <c r="B38" s="239"/>
      <c r="C38" s="240"/>
      <c r="D38" s="232"/>
      <c r="E38" s="234"/>
      <c r="F38" s="235"/>
      <c r="G38" s="235"/>
      <c r="H38" s="226"/>
      <c r="I38" s="226"/>
    </row>
    <row r="39" spans="1:11">
      <c r="A39" s="211" t="s">
        <v>28</v>
      </c>
      <c r="B39" s="236"/>
      <c r="C39" s="237"/>
      <c r="D39" s="241" t="s">
        <v>14</v>
      </c>
      <c r="E39" s="241">
        <v>2.2999999999999998</v>
      </c>
      <c r="F39" s="226">
        <v>2.08</v>
      </c>
      <c r="G39" s="235">
        <v>0.5</v>
      </c>
      <c r="H39" s="226">
        <f>E39*F39*G39</f>
        <v>2.3919999999999999</v>
      </c>
      <c r="I39" s="226"/>
    </row>
    <row r="40" spans="1:11">
      <c r="A40" s="238"/>
      <c r="B40" s="239"/>
      <c r="C40" s="240"/>
      <c r="D40" s="242"/>
      <c r="E40" s="242"/>
      <c r="F40" s="226"/>
      <c r="G40" s="235"/>
      <c r="H40" s="226"/>
      <c r="I40" s="226"/>
    </row>
    <row r="41" spans="1:11">
      <c r="A41" s="204" t="s">
        <v>29</v>
      </c>
      <c r="B41" s="205"/>
      <c r="C41" s="207"/>
      <c r="D41" s="6" t="s">
        <v>15</v>
      </c>
      <c r="E41" s="16">
        <v>3.92</v>
      </c>
      <c r="F41" s="16">
        <v>0.76</v>
      </c>
      <c r="G41" s="6">
        <v>1</v>
      </c>
      <c r="H41" s="226">
        <f t="shared" ref="H41:H48" si="0">E41*F41*G41</f>
        <v>2.9792000000000001</v>
      </c>
      <c r="I41" s="226"/>
      <c r="J41" s="9"/>
    </row>
    <row r="42" spans="1:11">
      <c r="A42" s="204" t="s">
        <v>29</v>
      </c>
      <c r="B42" s="205"/>
      <c r="C42" s="207"/>
      <c r="D42" s="6" t="s">
        <v>16</v>
      </c>
      <c r="E42" s="16">
        <v>4.82</v>
      </c>
      <c r="F42" s="16">
        <f>3.38*6</f>
        <v>20.28</v>
      </c>
      <c r="G42" s="6">
        <v>1</v>
      </c>
      <c r="H42" s="226">
        <f t="shared" si="0"/>
        <v>97.749600000000015</v>
      </c>
      <c r="I42" s="226"/>
      <c r="J42" s="9"/>
    </row>
    <row r="43" spans="1:11">
      <c r="A43" s="204" t="s">
        <v>29</v>
      </c>
      <c r="B43" s="205"/>
      <c r="C43" s="207"/>
      <c r="D43" s="6" t="s">
        <v>17</v>
      </c>
      <c r="E43" s="16">
        <v>5.17</v>
      </c>
      <c r="F43" s="16">
        <f>6.93*2</f>
        <v>13.86</v>
      </c>
      <c r="G43" s="6">
        <v>1</v>
      </c>
      <c r="H43" s="226">
        <f t="shared" si="0"/>
        <v>71.656199999999998</v>
      </c>
      <c r="I43" s="226"/>
      <c r="J43" s="9"/>
    </row>
    <row r="44" spans="1:11">
      <c r="A44" s="204" t="s">
        <v>29</v>
      </c>
      <c r="B44" s="205"/>
      <c r="C44" s="207"/>
      <c r="D44" s="6" t="s">
        <v>18</v>
      </c>
      <c r="E44" s="16">
        <v>4.5</v>
      </c>
      <c r="F44" s="16">
        <f>1.57*2</f>
        <v>3.14</v>
      </c>
      <c r="G44" s="6">
        <v>1</v>
      </c>
      <c r="H44" s="226">
        <f t="shared" si="0"/>
        <v>14.13</v>
      </c>
      <c r="I44" s="226"/>
      <c r="J44" s="9"/>
    </row>
    <row r="45" spans="1:11">
      <c r="A45" s="204" t="s">
        <v>29</v>
      </c>
      <c r="B45" s="205"/>
      <c r="C45" s="207"/>
      <c r="D45" s="6" t="s">
        <v>19</v>
      </c>
      <c r="E45" s="16">
        <v>4.9400000000000004</v>
      </c>
      <c r="F45" s="16">
        <f>5.97*2</f>
        <v>11.94</v>
      </c>
      <c r="G45" s="6">
        <v>1</v>
      </c>
      <c r="H45" s="226">
        <f t="shared" si="0"/>
        <v>58.983600000000003</v>
      </c>
      <c r="I45" s="226"/>
      <c r="J45" s="9"/>
    </row>
    <row r="46" spans="1:11">
      <c r="A46" s="204" t="s">
        <v>29</v>
      </c>
      <c r="B46" s="205"/>
      <c r="C46" s="207"/>
      <c r="D46" s="6" t="s">
        <v>20</v>
      </c>
      <c r="E46" s="16">
        <v>3.4</v>
      </c>
      <c r="F46" s="16">
        <f>0.26*2</f>
        <v>0.52</v>
      </c>
      <c r="G46" s="6">
        <v>1</v>
      </c>
      <c r="H46" s="226">
        <f t="shared" si="0"/>
        <v>1.768</v>
      </c>
      <c r="I46" s="226"/>
    </row>
    <row r="47" spans="1:11">
      <c r="A47" s="204" t="s">
        <v>29</v>
      </c>
      <c r="B47" s="205"/>
      <c r="C47" s="207"/>
      <c r="D47" s="6" t="s">
        <v>21</v>
      </c>
      <c r="E47" s="16">
        <v>4.5199999999999996</v>
      </c>
      <c r="F47" s="16">
        <f>2.79*2</f>
        <v>5.58</v>
      </c>
      <c r="G47" s="6">
        <v>1</v>
      </c>
      <c r="H47" s="226">
        <f t="shared" si="0"/>
        <v>25.221599999999999</v>
      </c>
      <c r="I47" s="226"/>
    </row>
    <row r="48" spans="1:11">
      <c r="A48" s="204" t="s">
        <v>104</v>
      </c>
      <c r="B48" s="205"/>
      <c r="C48" s="207"/>
      <c r="D48" s="6" t="s">
        <v>30</v>
      </c>
      <c r="E48" s="16">
        <v>1.46</v>
      </c>
      <c r="F48" s="22">
        <v>1.07</v>
      </c>
      <c r="G48" s="6">
        <v>1</v>
      </c>
      <c r="H48" s="226">
        <f t="shared" si="0"/>
        <v>1.5622</v>
      </c>
      <c r="I48" s="226"/>
      <c r="K48" s="23"/>
    </row>
    <row r="49" spans="1:9" ht="16.5">
      <c r="A49" s="9"/>
      <c r="B49" s="9"/>
      <c r="C49" s="9"/>
      <c r="D49" s="9"/>
      <c r="E49" s="9"/>
      <c r="F49" s="16">
        <f>SUM(F31:F48)</f>
        <v>506.11999999999995</v>
      </c>
      <c r="G49" s="6" t="s">
        <v>187</v>
      </c>
      <c r="H49" s="226">
        <f>SUM(H31:I48)</f>
        <v>915.24068</v>
      </c>
      <c r="I49" s="226"/>
    </row>
    <row r="50" spans="1:9">
      <c r="A50" s="9"/>
      <c r="B50" s="9"/>
      <c r="C50" s="9"/>
      <c r="D50" s="9"/>
      <c r="E50" s="9"/>
      <c r="F50" s="9"/>
      <c r="G50" s="9"/>
      <c r="H50" s="9"/>
      <c r="I50" s="9"/>
    </row>
    <row r="51" spans="1:9">
      <c r="A51" s="9"/>
      <c r="B51" s="9"/>
      <c r="C51" s="9"/>
      <c r="D51" s="9"/>
      <c r="E51" s="9"/>
      <c r="F51" s="9"/>
      <c r="G51" s="9"/>
      <c r="H51" s="9"/>
      <c r="I51" s="9"/>
    </row>
    <row r="52" spans="1:9">
      <c r="A52" s="204" t="s">
        <v>45</v>
      </c>
      <c r="B52" s="205"/>
      <c r="C52" s="207"/>
      <c r="D52" s="9"/>
      <c r="E52" s="9"/>
      <c r="F52" s="9"/>
      <c r="G52" s="9"/>
      <c r="H52" s="9"/>
      <c r="I52" s="9"/>
    </row>
    <row r="53" spans="1:9" ht="16.5">
      <c r="A53" s="6" t="s">
        <v>188</v>
      </c>
      <c r="B53" s="6">
        <f>0.1*B22</f>
        <v>33.4</v>
      </c>
      <c r="C53" s="6"/>
      <c r="D53" s="9"/>
      <c r="E53" s="9"/>
      <c r="F53" s="9"/>
      <c r="G53" s="9"/>
      <c r="H53" s="9"/>
      <c r="I53" s="9"/>
    </row>
    <row r="54" spans="1:9">
      <c r="A54" s="204" t="s">
        <v>46</v>
      </c>
      <c r="B54" s="205"/>
      <c r="C54" s="207"/>
      <c r="D54" s="9"/>
      <c r="E54" s="9"/>
      <c r="F54" s="9"/>
      <c r="G54" s="9"/>
      <c r="H54" s="9"/>
      <c r="I54" s="9"/>
    </row>
    <row r="55" spans="1:9" ht="16.5">
      <c r="A55" s="6" t="s">
        <v>189</v>
      </c>
      <c r="B55" s="16">
        <f>H49+B53</f>
        <v>948.64067999999997</v>
      </c>
      <c r="C55" s="6"/>
      <c r="D55" s="9"/>
      <c r="E55" s="9"/>
      <c r="F55" s="9"/>
      <c r="G55" s="9"/>
      <c r="H55" s="9"/>
      <c r="I55" s="9"/>
    </row>
    <row r="56" spans="1:9">
      <c r="A56" s="204" t="s">
        <v>47</v>
      </c>
      <c r="B56" s="205"/>
      <c r="C56" s="207"/>
      <c r="D56" s="9"/>
      <c r="E56" s="9"/>
      <c r="F56" s="9"/>
      <c r="G56" s="9"/>
      <c r="H56" s="9"/>
      <c r="I56" s="9"/>
    </row>
    <row r="57" spans="1:9" ht="18.75">
      <c r="A57" s="19" t="s">
        <v>190</v>
      </c>
      <c r="B57" s="16">
        <f>B55/B22</f>
        <v>2.8402415568862276</v>
      </c>
      <c r="C57" s="16"/>
      <c r="D57" s="9"/>
      <c r="E57" s="9"/>
      <c r="F57" s="9"/>
      <c r="G57" s="9"/>
      <c r="H57" s="9"/>
      <c r="I57" s="9"/>
    </row>
    <row r="58" spans="1:9" ht="18.75">
      <c r="A58" s="19" t="s">
        <v>191</v>
      </c>
      <c r="B58" s="6">
        <v>0.8</v>
      </c>
      <c r="C58" s="6"/>
      <c r="D58" s="9"/>
      <c r="E58" s="9"/>
      <c r="F58" s="9"/>
      <c r="G58" s="9"/>
      <c r="H58" s="9"/>
      <c r="I58" s="9"/>
    </row>
    <row r="59" spans="1:9">
      <c r="A59" s="6" t="s">
        <v>48</v>
      </c>
      <c r="B59" s="6" t="s">
        <v>24</v>
      </c>
      <c r="C59" s="6"/>
      <c r="D59" s="9"/>
      <c r="E59" s="9"/>
      <c r="F59" s="9"/>
      <c r="G59" s="9"/>
      <c r="H59" s="9"/>
      <c r="I59" s="9"/>
    </row>
    <row r="60" spans="1:9">
      <c r="A60" s="9"/>
      <c r="B60" s="9"/>
      <c r="C60" s="9"/>
      <c r="D60" s="9"/>
      <c r="E60" s="9"/>
      <c r="F60" s="9"/>
      <c r="G60" s="9"/>
      <c r="H60" s="9"/>
      <c r="I60" s="9"/>
    </row>
    <row r="61" spans="1:9" ht="15.75" thickBot="1">
      <c r="A61" s="7"/>
      <c r="B61" s="7"/>
      <c r="C61" s="7"/>
      <c r="D61" s="7"/>
      <c r="E61" s="7"/>
      <c r="F61" s="7"/>
      <c r="G61" s="7"/>
      <c r="H61" s="9"/>
      <c r="I61" s="9"/>
    </row>
    <row r="62" spans="1:9" ht="15.75" thickBot="1">
      <c r="A62" s="227" t="s">
        <v>49</v>
      </c>
      <c r="B62" s="228"/>
      <c r="C62" s="229"/>
      <c r="D62" s="229"/>
      <c r="E62" s="230"/>
      <c r="F62" s="7"/>
      <c r="G62" s="7"/>
      <c r="H62" s="9"/>
      <c r="I62" s="9"/>
    </row>
    <row r="63" spans="1:9" ht="18">
      <c r="A63" s="24" t="s">
        <v>192</v>
      </c>
      <c r="B63" s="25">
        <v>0.5</v>
      </c>
      <c r="C63" s="6"/>
      <c r="D63" s="6" t="s">
        <v>50</v>
      </c>
      <c r="E63" s="6"/>
      <c r="F63" s="7"/>
      <c r="G63" s="7"/>
      <c r="H63" s="9"/>
      <c r="I63" s="9"/>
    </row>
    <row r="64" spans="1:9" ht="16.5">
      <c r="A64" s="15" t="s">
        <v>193</v>
      </c>
      <c r="B64" s="26">
        <f>0.33*B18*B63</f>
        <v>103.00125</v>
      </c>
      <c r="C64" s="27"/>
      <c r="D64" s="28"/>
      <c r="E64" s="28"/>
      <c r="F64" s="7"/>
      <c r="G64" s="7"/>
      <c r="H64" s="9"/>
      <c r="I64" s="9"/>
    </row>
    <row r="65" spans="1:9" ht="17.25" thickBot="1">
      <c r="A65" s="17" t="s">
        <v>194</v>
      </c>
      <c r="B65" s="29">
        <f>B64/1000</f>
        <v>0.10300125</v>
      </c>
      <c r="C65" s="30"/>
      <c r="D65" s="28"/>
      <c r="E65" s="28"/>
      <c r="F65" s="7"/>
      <c r="G65" s="9"/>
      <c r="H65" s="9"/>
      <c r="I65" s="9"/>
    </row>
    <row r="66" spans="1:9">
      <c r="A66" s="9"/>
      <c r="B66" s="9"/>
      <c r="C66" s="9"/>
      <c r="D66" s="7"/>
      <c r="E66" s="7"/>
      <c r="F66" s="7"/>
      <c r="G66" s="9"/>
      <c r="H66" s="9"/>
      <c r="I66" s="9"/>
    </row>
    <row r="67" spans="1:9">
      <c r="A67" s="9"/>
      <c r="B67" s="9"/>
      <c r="C67" s="9"/>
      <c r="D67" s="9"/>
      <c r="E67" s="9"/>
      <c r="F67" s="9"/>
      <c r="G67" s="9"/>
      <c r="H67" s="9"/>
      <c r="I67" s="9"/>
    </row>
    <row r="68" spans="1:9">
      <c r="A68" s="9"/>
      <c r="B68" s="9"/>
      <c r="C68" s="9"/>
      <c r="D68" s="9"/>
      <c r="E68" s="9"/>
      <c r="F68" s="9"/>
      <c r="G68" s="9"/>
      <c r="H68" s="9"/>
      <c r="I68" s="9"/>
    </row>
    <row r="69" spans="1:9" ht="16.5" customHeight="1">
      <c r="A69" s="204" t="s">
        <v>51</v>
      </c>
      <c r="B69" s="205"/>
      <c r="C69" s="205"/>
      <c r="D69" s="205"/>
      <c r="E69" s="207"/>
      <c r="F69" s="31"/>
      <c r="G69" s="31"/>
      <c r="H69" s="31"/>
      <c r="I69" s="31"/>
    </row>
    <row r="70" spans="1:9" ht="126" customHeight="1">
      <c r="A70" s="6" t="s">
        <v>187</v>
      </c>
      <c r="B70" s="16">
        <f>SUM(H31:I40)</f>
        <v>641.19028000000003</v>
      </c>
      <c r="C70" s="204" t="s">
        <v>52</v>
      </c>
      <c r="D70" s="205"/>
      <c r="E70" s="207"/>
      <c r="F70" s="28"/>
      <c r="G70" s="28"/>
      <c r="H70" s="28"/>
      <c r="I70" s="11"/>
    </row>
    <row r="71" spans="1:9" ht="48" customHeight="1">
      <c r="A71" s="6" t="s">
        <v>181</v>
      </c>
      <c r="B71" s="16">
        <f>B22-72.18</f>
        <v>261.82</v>
      </c>
      <c r="C71" s="204" t="s">
        <v>53</v>
      </c>
      <c r="D71" s="205"/>
      <c r="E71" s="207"/>
      <c r="F71" s="32"/>
      <c r="G71" s="32"/>
      <c r="H71" s="28"/>
      <c r="I71" s="11"/>
    </row>
    <row r="72" spans="1:9" ht="90.75" customHeight="1">
      <c r="A72" s="6" t="s">
        <v>188</v>
      </c>
      <c r="B72" s="16">
        <f>0.1*B71</f>
        <v>26.182000000000002</v>
      </c>
      <c r="C72" s="173" t="s">
        <v>54</v>
      </c>
      <c r="D72" s="173"/>
      <c r="E72" s="173"/>
      <c r="F72" s="28"/>
      <c r="G72" s="28"/>
      <c r="H72" s="28"/>
      <c r="I72" s="11"/>
    </row>
    <row r="73" spans="1:9" ht="60" customHeight="1">
      <c r="A73" s="6" t="s">
        <v>189</v>
      </c>
      <c r="B73" s="16">
        <f>B70+B72</f>
        <v>667.37228000000005</v>
      </c>
      <c r="C73" s="173" t="s">
        <v>55</v>
      </c>
      <c r="D73" s="173"/>
      <c r="E73" s="173"/>
      <c r="F73" s="31"/>
      <c r="G73" s="31"/>
      <c r="H73" s="31"/>
      <c r="I73" s="11"/>
    </row>
    <row r="74" spans="1:9" ht="16.5">
      <c r="A74" s="6" t="s">
        <v>195</v>
      </c>
      <c r="B74" s="16">
        <f>B73*(B6-E1)</f>
        <v>23024.343660000002</v>
      </c>
      <c r="C74" s="194"/>
      <c r="D74" s="194"/>
      <c r="E74" s="194"/>
      <c r="F74" s="28"/>
      <c r="G74" s="28"/>
      <c r="H74" s="28"/>
      <c r="I74" s="11"/>
    </row>
    <row r="75" spans="1:9" ht="16.5">
      <c r="A75" s="6" t="s">
        <v>196</v>
      </c>
      <c r="B75" s="16">
        <f>B74/1000</f>
        <v>23.024343660000003</v>
      </c>
      <c r="C75" s="194"/>
      <c r="D75" s="194"/>
      <c r="E75" s="194"/>
      <c r="F75" s="28"/>
      <c r="G75" s="28"/>
      <c r="H75" s="28"/>
      <c r="I75" s="11"/>
    </row>
    <row r="76" spans="1:9">
      <c r="A76" s="9"/>
      <c r="B76" s="9"/>
      <c r="C76" s="9"/>
      <c r="D76" s="9"/>
      <c r="E76" s="9"/>
      <c r="F76" s="9"/>
      <c r="G76" s="9"/>
      <c r="H76" s="9"/>
      <c r="I76" s="9"/>
    </row>
    <row r="77" spans="1:9">
      <c r="A77" s="9"/>
      <c r="B77" s="9"/>
      <c r="C77" s="9"/>
      <c r="D77" s="9"/>
      <c r="E77" s="9"/>
      <c r="F77" s="9"/>
      <c r="G77" s="9"/>
      <c r="H77" s="9"/>
      <c r="I77" s="9"/>
    </row>
    <row r="78" spans="1:9">
      <c r="A78" s="9"/>
      <c r="B78" s="9"/>
      <c r="C78" s="9"/>
      <c r="D78" s="9"/>
      <c r="E78" s="9"/>
      <c r="F78" s="9"/>
      <c r="G78" s="9"/>
      <c r="H78" s="9"/>
      <c r="I78" s="9"/>
    </row>
    <row r="79" spans="1:9">
      <c r="A79" s="9"/>
      <c r="B79" s="9"/>
      <c r="C79" s="9"/>
      <c r="D79" s="9"/>
      <c r="E79" s="9"/>
      <c r="F79" s="9"/>
      <c r="G79" s="9"/>
      <c r="H79" s="9"/>
      <c r="I79" s="9"/>
    </row>
    <row r="80" spans="1:9">
      <c r="A80" s="9"/>
      <c r="B80" s="9"/>
      <c r="C80" s="9"/>
      <c r="D80" s="9"/>
      <c r="E80" s="9"/>
      <c r="F80" s="9"/>
      <c r="G80" s="9"/>
      <c r="H80" s="9"/>
      <c r="I80" s="9"/>
    </row>
    <row r="81" spans="1:15">
      <c r="A81" s="9"/>
      <c r="B81" s="9"/>
      <c r="C81" s="9"/>
      <c r="D81" s="9"/>
      <c r="E81" s="9"/>
      <c r="F81" s="9"/>
      <c r="G81" s="9"/>
      <c r="H81" s="9"/>
      <c r="I81" s="9"/>
    </row>
    <row r="82" spans="1:15" ht="15.75" thickBot="1">
      <c r="A82" s="9"/>
      <c r="B82" s="9"/>
      <c r="C82" s="9"/>
      <c r="D82" s="9"/>
      <c r="E82" s="9"/>
      <c r="F82" s="9"/>
      <c r="G82" s="9"/>
      <c r="H82" s="9"/>
      <c r="I82" s="9"/>
    </row>
    <row r="83" spans="1:15" ht="15.75" thickBot="1">
      <c r="A83" s="191" t="s">
        <v>56</v>
      </c>
      <c r="B83" s="192"/>
      <c r="C83" s="192"/>
      <c r="D83" s="192"/>
      <c r="E83" s="192"/>
      <c r="F83" s="192"/>
      <c r="G83" s="192"/>
      <c r="H83" s="192"/>
      <c r="I83" s="193"/>
    </row>
    <row r="84" spans="1:15" ht="16.5">
      <c r="A84" s="24" t="s">
        <v>187</v>
      </c>
      <c r="B84" s="33">
        <f>SUM(H41:I48)</f>
        <v>274.05040000000002</v>
      </c>
      <c r="C84" s="199" t="s">
        <v>57</v>
      </c>
      <c r="D84" s="200"/>
      <c r="E84" s="200"/>
      <c r="F84" s="200"/>
      <c r="G84" s="200"/>
      <c r="H84" s="200"/>
      <c r="I84" s="201"/>
    </row>
    <row r="85" spans="1:15" ht="18">
      <c r="A85" s="15" t="s">
        <v>181</v>
      </c>
      <c r="B85" s="16">
        <v>72.180000000000007</v>
      </c>
      <c r="C85" s="143" t="s">
        <v>58</v>
      </c>
      <c r="D85" s="202"/>
      <c r="E85" s="202"/>
      <c r="F85" s="202"/>
      <c r="G85" s="202"/>
      <c r="H85" s="202"/>
      <c r="I85" s="203"/>
    </row>
    <row r="86" spans="1:15" ht="18" customHeight="1">
      <c r="A86" s="15" t="s">
        <v>188</v>
      </c>
      <c r="B86" s="16">
        <f>0.1*B85</f>
        <v>7.2180000000000009</v>
      </c>
      <c r="C86" s="204" t="s">
        <v>59</v>
      </c>
      <c r="D86" s="205"/>
      <c r="E86" s="205"/>
      <c r="F86" s="205"/>
      <c r="G86" s="205"/>
      <c r="H86" s="205"/>
      <c r="I86" s="206"/>
    </row>
    <row r="87" spans="1:15" ht="18" customHeight="1">
      <c r="A87" s="15" t="s">
        <v>189</v>
      </c>
      <c r="B87" s="16">
        <f>B84+B86</f>
        <v>281.26840000000004</v>
      </c>
      <c r="C87" s="204" t="s">
        <v>60</v>
      </c>
      <c r="D87" s="205"/>
      <c r="E87" s="205"/>
      <c r="F87" s="205"/>
      <c r="G87" s="205"/>
      <c r="H87" s="205"/>
      <c r="I87" s="207"/>
    </row>
    <row r="88" spans="1:15" ht="16.5">
      <c r="A88" s="15" t="s">
        <v>195</v>
      </c>
      <c r="B88" s="16">
        <f>B87*(B6-E1)</f>
        <v>9703.7598000000016</v>
      </c>
      <c r="C88" s="34"/>
      <c r="D88" s="35"/>
      <c r="E88" s="35"/>
      <c r="F88" s="35"/>
      <c r="G88" s="35"/>
      <c r="H88" s="35"/>
      <c r="I88" s="35"/>
    </row>
    <row r="89" spans="1:15" ht="17.25" thickBot="1">
      <c r="A89" s="17" t="s">
        <v>196</v>
      </c>
      <c r="B89" s="16">
        <f>B88/1000</f>
        <v>9.703759800000002</v>
      </c>
      <c r="C89" s="36"/>
      <c r="D89" s="37"/>
      <c r="E89" s="37"/>
      <c r="F89" s="37"/>
      <c r="G89" s="37"/>
      <c r="H89" s="37"/>
      <c r="I89" s="37"/>
    </row>
    <row r="90" spans="1:15">
      <c r="A90" s="9"/>
      <c r="B90" s="9"/>
      <c r="C90" s="9"/>
      <c r="D90" s="9"/>
      <c r="E90" s="9"/>
      <c r="F90" s="9"/>
      <c r="G90" s="9"/>
      <c r="H90" s="9"/>
      <c r="I90" s="9"/>
    </row>
    <row r="91" spans="1:15" ht="54.75" customHeight="1">
      <c r="A91" s="173" t="s">
        <v>61</v>
      </c>
      <c r="B91" s="173"/>
      <c r="C91" s="38"/>
      <c r="D91" s="38"/>
      <c r="E91" s="38"/>
      <c r="F91" s="39"/>
      <c r="G91" s="39"/>
      <c r="H91" s="39"/>
      <c r="I91" s="152" t="s">
        <v>129</v>
      </c>
      <c r="J91" s="153"/>
      <c r="K91" s="153"/>
      <c r="L91" s="153"/>
      <c r="M91" s="153"/>
      <c r="N91" s="153"/>
      <c r="O91" s="154"/>
    </row>
    <row r="92" spans="1:15" ht="16.5">
      <c r="A92" s="6" t="s">
        <v>197</v>
      </c>
      <c r="B92" s="16">
        <f>B64*(B6-E1)</f>
        <v>3553.5431250000001</v>
      </c>
      <c r="C92" s="40"/>
      <c r="D92" s="28"/>
      <c r="E92" s="28"/>
      <c r="F92" s="9"/>
      <c r="G92" s="9"/>
      <c r="H92" s="9"/>
      <c r="I92" s="148" t="s">
        <v>119</v>
      </c>
      <c r="J92" s="149"/>
      <c r="K92" s="41" t="s">
        <v>85</v>
      </c>
      <c r="L92" s="41" t="s">
        <v>1</v>
      </c>
      <c r="M92" s="41" t="s">
        <v>198</v>
      </c>
      <c r="N92" s="146" t="s">
        <v>199</v>
      </c>
      <c r="O92" s="147"/>
    </row>
    <row r="93" spans="1:15" ht="16.5">
      <c r="A93" s="6" t="s">
        <v>200</v>
      </c>
      <c r="B93" s="16">
        <f>B92/1000</f>
        <v>3.553543125</v>
      </c>
      <c r="C93" s="40"/>
      <c r="D93" s="28"/>
      <c r="E93" s="28"/>
      <c r="F93" s="9"/>
      <c r="G93" s="9"/>
      <c r="H93" s="9"/>
      <c r="I93" s="150"/>
      <c r="J93" s="151"/>
      <c r="K93" s="41" t="s">
        <v>87</v>
      </c>
      <c r="L93" s="41"/>
      <c r="M93" s="41" t="s">
        <v>128</v>
      </c>
      <c r="N93" s="163" t="s">
        <v>90</v>
      </c>
      <c r="O93" s="164"/>
    </row>
    <row r="94" spans="1:15" ht="15.75" thickBot="1">
      <c r="A94" s="9"/>
      <c r="B94" s="9"/>
      <c r="C94" s="9"/>
      <c r="D94" s="9"/>
      <c r="E94" s="9"/>
      <c r="F94" s="9"/>
      <c r="G94" s="9"/>
      <c r="H94" s="9"/>
      <c r="I94" s="141" t="s">
        <v>120</v>
      </c>
      <c r="J94" s="142"/>
      <c r="K94" s="160">
        <v>24</v>
      </c>
      <c r="L94" s="42">
        <v>105</v>
      </c>
      <c r="M94" s="157">
        <f>B87+B73+B64</f>
        <v>1051.64193</v>
      </c>
      <c r="N94" s="155">
        <f t="shared" ref="N94:N100" si="1">24*L94*$M$94/1000</f>
        <v>2650.1376636</v>
      </c>
      <c r="O94" s="156"/>
    </row>
    <row r="95" spans="1:15" ht="16.5" customHeight="1" thickBot="1">
      <c r="A95" s="208" t="s">
        <v>62</v>
      </c>
      <c r="B95" s="209"/>
      <c r="C95" s="210"/>
      <c r="D95" s="9"/>
      <c r="E95" s="9"/>
      <c r="F95" s="9"/>
      <c r="G95" s="9"/>
      <c r="H95" s="9"/>
      <c r="I95" s="141" t="s">
        <v>121</v>
      </c>
      <c r="J95" s="142"/>
      <c r="K95" s="161"/>
      <c r="L95" s="42">
        <v>387</v>
      </c>
      <c r="M95" s="158"/>
      <c r="N95" s="155">
        <f t="shared" si="1"/>
        <v>9767.6502458399991</v>
      </c>
      <c r="O95" s="156"/>
    </row>
    <row r="96" spans="1:15" ht="16.5">
      <c r="A96" s="24" t="s">
        <v>201</v>
      </c>
      <c r="B96" s="224">
        <f>B74+B88+B92</f>
        <v>36281.64658500001</v>
      </c>
      <c r="C96" s="225"/>
      <c r="D96" s="9"/>
      <c r="E96" s="9"/>
      <c r="F96" s="43"/>
      <c r="G96" s="9"/>
      <c r="H96" s="9"/>
      <c r="I96" s="141" t="s">
        <v>122</v>
      </c>
      <c r="J96" s="142"/>
      <c r="K96" s="161"/>
      <c r="L96" s="42">
        <v>551</v>
      </c>
      <c r="M96" s="158"/>
      <c r="N96" s="155">
        <f t="shared" si="1"/>
        <v>13906.912882319999</v>
      </c>
      <c r="O96" s="156"/>
    </row>
    <row r="97" spans="1:15" ht="17.25" thickBot="1">
      <c r="A97" s="17" t="s">
        <v>202</v>
      </c>
      <c r="B97" s="222">
        <f>B75+B89+B93</f>
        <v>36.281646585000004</v>
      </c>
      <c r="C97" s="223"/>
      <c r="D97" s="9"/>
      <c r="E97" s="11"/>
      <c r="F97" s="11"/>
      <c r="G97" s="11"/>
      <c r="H97" s="11"/>
      <c r="I97" s="141" t="s">
        <v>123</v>
      </c>
      <c r="J97" s="142"/>
      <c r="K97" s="161"/>
      <c r="L97" s="42">
        <v>607</v>
      </c>
      <c r="M97" s="158"/>
      <c r="N97" s="155">
        <f t="shared" si="1"/>
        <v>15320.319636239999</v>
      </c>
      <c r="O97" s="156"/>
    </row>
    <row r="98" spans="1:15">
      <c r="A98" s="9"/>
      <c r="B98" s="9"/>
      <c r="C98" s="9"/>
      <c r="D98" s="9"/>
      <c r="E98" s="11"/>
      <c r="F98" s="11"/>
      <c r="G98" s="11"/>
      <c r="H98" s="11"/>
      <c r="I98" s="141" t="s">
        <v>124</v>
      </c>
      <c r="J98" s="142"/>
      <c r="K98" s="161"/>
      <c r="L98" s="42">
        <v>475</v>
      </c>
      <c r="M98" s="158"/>
      <c r="N98" s="155">
        <f t="shared" si="1"/>
        <v>11988.718002</v>
      </c>
      <c r="O98" s="156"/>
    </row>
    <row r="99" spans="1:15" ht="15" customHeight="1">
      <c r="A99" s="211" t="s">
        <v>63</v>
      </c>
      <c r="B99" s="212"/>
      <c r="C99" s="212"/>
      <c r="D99" s="213"/>
      <c r="E99" s="31"/>
      <c r="F99" s="31"/>
      <c r="G99" s="31"/>
      <c r="H99" s="31"/>
      <c r="I99" s="141" t="s">
        <v>125</v>
      </c>
      <c r="J99" s="142"/>
      <c r="K99" s="161"/>
      <c r="L99" s="42">
        <v>384</v>
      </c>
      <c r="M99" s="158"/>
      <c r="N99" s="155">
        <f t="shared" si="1"/>
        <v>9691.9320268800002</v>
      </c>
      <c r="O99" s="156"/>
    </row>
    <row r="100" spans="1:15">
      <c r="A100" s="214"/>
      <c r="B100" s="215"/>
      <c r="C100" s="215"/>
      <c r="D100" s="216"/>
      <c r="E100" s="31"/>
      <c r="F100" s="31"/>
      <c r="G100" s="31"/>
      <c r="H100" s="11"/>
      <c r="I100" s="141" t="s">
        <v>126</v>
      </c>
      <c r="J100" s="142"/>
      <c r="K100" s="162"/>
      <c r="L100" s="42">
        <v>106</v>
      </c>
      <c r="M100" s="159"/>
      <c r="N100" s="155">
        <f t="shared" si="1"/>
        <v>2675.3770699199999</v>
      </c>
      <c r="O100" s="156"/>
    </row>
    <row r="101" spans="1:15">
      <c r="A101" s="221" t="s">
        <v>64</v>
      </c>
      <c r="B101" s="185"/>
      <c r="C101" s="185"/>
      <c r="D101" s="186"/>
      <c r="E101" s="11"/>
      <c r="F101" s="11"/>
      <c r="G101" s="11"/>
      <c r="H101" s="11"/>
      <c r="I101" s="9"/>
    </row>
    <row r="102" spans="1:15" ht="18">
      <c r="A102" s="6" t="s">
        <v>203</v>
      </c>
      <c r="B102" s="6" t="s">
        <v>65</v>
      </c>
      <c r="C102" s="6" t="s">
        <v>12</v>
      </c>
      <c r="D102" s="6" t="s">
        <v>66</v>
      </c>
      <c r="E102" s="28"/>
      <c r="F102" s="28"/>
      <c r="G102" s="28"/>
      <c r="H102" s="28"/>
      <c r="I102" s="9"/>
    </row>
    <row r="103" spans="1:15">
      <c r="A103" s="6" t="s">
        <v>8</v>
      </c>
      <c r="B103" s="16">
        <v>47.6</v>
      </c>
      <c r="C103" s="6">
        <v>0</v>
      </c>
      <c r="D103" s="16">
        <v>35.549999999999997</v>
      </c>
      <c r="E103" s="28"/>
      <c r="F103" s="28"/>
      <c r="G103" s="28"/>
      <c r="H103" s="28"/>
      <c r="I103" s="9"/>
    </row>
    <row r="104" spans="1:15">
      <c r="A104" s="6" t="s">
        <v>9</v>
      </c>
      <c r="B104" s="16">
        <v>57.523000000000003</v>
      </c>
      <c r="C104" s="6">
        <v>0</v>
      </c>
      <c r="D104" s="16">
        <v>20.63</v>
      </c>
      <c r="E104" s="28"/>
      <c r="F104" s="28"/>
      <c r="G104" s="28"/>
      <c r="H104" s="28"/>
      <c r="I104" s="9"/>
    </row>
    <row r="105" spans="1:15">
      <c r="A105" s="6" t="s">
        <v>10</v>
      </c>
      <c r="B105" s="16">
        <v>79.56</v>
      </c>
      <c r="C105" s="6">
        <v>0</v>
      </c>
      <c r="D105" s="16">
        <v>15.66</v>
      </c>
      <c r="E105" s="28"/>
      <c r="F105" s="28"/>
      <c r="G105" s="28"/>
      <c r="H105" s="28"/>
      <c r="I105" s="9"/>
    </row>
    <row r="106" spans="1:15">
      <c r="A106" s="6" t="s">
        <v>11</v>
      </c>
      <c r="B106" s="16">
        <v>40.72</v>
      </c>
      <c r="C106" s="6">
        <v>0</v>
      </c>
      <c r="D106" s="16">
        <v>9.9</v>
      </c>
      <c r="E106" s="28"/>
      <c r="F106" s="28"/>
      <c r="G106" s="28"/>
      <c r="H106" s="28"/>
      <c r="I106" s="9"/>
    </row>
    <row r="107" spans="1:15">
      <c r="A107" s="28"/>
      <c r="B107" s="28"/>
      <c r="C107" s="28"/>
      <c r="D107" s="28"/>
      <c r="E107" s="11"/>
      <c r="F107" s="11"/>
      <c r="G107" s="11"/>
      <c r="H107" s="11"/>
      <c r="I107" s="9"/>
    </row>
    <row r="108" spans="1:15">
      <c r="A108" s="11"/>
      <c r="B108" s="11"/>
      <c r="C108" s="11"/>
      <c r="D108" s="11"/>
      <c r="E108" s="11"/>
      <c r="F108" s="11"/>
      <c r="G108" s="28"/>
      <c r="H108" s="28"/>
      <c r="I108" s="9"/>
    </row>
    <row r="109" spans="1:15">
      <c r="A109" s="28"/>
      <c r="B109" s="11"/>
      <c r="C109" s="11"/>
      <c r="D109" s="11"/>
      <c r="E109" s="11"/>
      <c r="F109" s="11"/>
      <c r="G109" s="28"/>
      <c r="H109" s="28"/>
      <c r="I109" s="9"/>
    </row>
    <row r="110" spans="1:15" ht="15.75" thickBot="1">
      <c r="A110" s="9"/>
      <c r="B110" s="9"/>
      <c r="C110" s="9"/>
      <c r="D110" s="9"/>
      <c r="E110" s="9"/>
      <c r="F110" s="9"/>
      <c r="G110" s="9"/>
      <c r="H110" s="9"/>
      <c r="I110" s="9"/>
    </row>
    <row r="111" spans="1:15" ht="15.75" customHeight="1" thickBot="1">
      <c r="A111" s="217" t="s">
        <v>67</v>
      </c>
      <c r="B111" s="218"/>
      <c r="C111" s="218"/>
      <c r="D111" s="218"/>
      <c r="E111" s="218"/>
      <c r="F111" s="219"/>
      <c r="G111" s="9"/>
      <c r="H111" s="9"/>
      <c r="I111" s="9"/>
    </row>
    <row r="112" spans="1:15" ht="35.25" customHeight="1">
      <c r="A112" s="197" t="s">
        <v>68</v>
      </c>
      <c r="B112" s="198"/>
      <c r="C112" s="14" t="s">
        <v>69</v>
      </c>
      <c r="D112" s="14" t="s">
        <v>70</v>
      </c>
      <c r="E112" s="14" t="s">
        <v>71</v>
      </c>
      <c r="F112" s="44" t="s">
        <v>72</v>
      </c>
      <c r="G112" s="9"/>
      <c r="H112" s="28"/>
      <c r="I112" s="28"/>
    </row>
    <row r="113" spans="1:13" ht="36.75" customHeight="1">
      <c r="A113" s="220" t="s">
        <v>204</v>
      </c>
      <c r="B113" s="207"/>
      <c r="C113" s="6">
        <f>0.9*0.83</f>
        <v>0.747</v>
      </c>
      <c r="D113" s="6">
        <f>C113</f>
        <v>0.747</v>
      </c>
      <c r="E113" s="6">
        <f>C113</f>
        <v>0.747</v>
      </c>
      <c r="F113" s="45">
        <f>C113</f>
        <v>0.747</v>
      </c>
      <c r="G113" s="9"/>
      <c r="H113" s="9"/>
      <c r="I113" s="9"/>
    </row>
    <row r="114" spans="1:13" ht="57.75" customHeight="1">
      <c r="A114" s="220" t="s">
        <v>205</v>
      </c>
      <c r="B114" s="207"/>
      <c r="C114" s="6">
        <v>0.6</v>
      </c>
      <c r="D114" s="6">
        <v>0.6</v>
      </c>
      <c r="E114" s="6">
        <v>0.6</v>
      </c>
      <c r="F114" s="45">
        <v>0.6</v>
      </c>
      <c r="G114" s="9"/>
      <c r="H114" s="9"/>
      <c r="I114" s="9"/>
    </row>
    <row r="115" spans="1:13" ht="53.25" customHeight="1" thickBot="1">
      <c r="A115" s="195" t="s">
        <v>206</v>
      </c>
      <c r="B115" s="196"/>
      <c r="C115" s="46">
        <v>0.04</v>
      </c>
      <c r="D115" s="46">
        <v>0.04</v>
      </c>
      <c r="E115" s="46">
        <v>0.04</v>
      </c>
      <c r="F115" s="47">
        <v>0.04</v>
      </c>
      <c r="G115" s="9"/>
      <c r="H115" s="9"/>
      <c r="I115" s="9"/>
    </row>
    <row r="116" spans="1:13">
      <c r="A116" s="9"/>
      <c r="B116" s="9"/>
      <c r="C116" s="9"/>
      <c r="D116" s="9"/>
      <c r="E116" s="9"/>
      <c r="F116" s="9"/>
      <c r="G116" s="9"/>
      <c r="H116" s="9"/>
      <c r="I116" s="9"/>
    </row>
    <row r="117" spans="1:13" ht="15.75" thickBot="1"/>
    <row r="118" spans="1:13" ht="15.75" thickBot="1">
      <c r="A118" s="177" t="s">
        <v>73</v>
      </c>
      <c r="B118" s="178"/>
      <c r="C118" s="178"/>
      <c r="D118" s="178"/>
      <c r="E118" s="178"/>
      <c r="F118" s="178"/>
      <c r="G118" s="178"/>
      <c r="H118" s="178"/>
      <c r="I118" s="178"/>
      <c r="J118" s="178"/>
      <c r="K118" s="178"/>
      <c r="L118" s="178"/>
      <c r="M118" s="179"/>
    </row>
    <row r="119" spans="1:13" ht="70.5" customHeight="1">
      <c r="A119" s="91" t="s">
        <v>22</v>
      </c>
      <c r="B119" s="92" t="s">
        <v>23</v>
      </c>
      <c r="C119" s="92" t="s">
        <v>74</v>
      </c>
      <c r="D119" s="92" t="s">
        <v>75</v>
      </c>
      <c r="E119" s="92" t="s">
        <v>76</v>
      </c>
      <c r="F119" s="93" t="s">
        <v>77</v>
      </c>
      <c r="G119" s="93" t="s">
        <v>78</v>
      </c>
      <c r="H119" s="93" t="s">
        <v>79</v>
      </c>
      <c r="I119" s="93" t="s">
        <v>80</v>
      </c>
      <c r="J119" s="93" t="s">
        <v>81</v>
      </c>
      <c r="K119" s="93" t="s">
        <v>82</v>
      </c>
      <c r="L119" s="93" t="s">
        <v>83</v>
      </c>
      <c r="M119" s="94" t="s">
        <v>84</v>
      </c>
    </row>
    <row r="120" spans="1:13">
      <c r="A120" s="74"/>
      <c r="B120" s="75"/>
      <c r="C120" s="75" t="s">
        <v>85</v>
      </c>
      <c r="D120" s="75" t="s">
        <v>86</v>
      </c>
      <c r="E120" s="75" t="s">
        <v>87</v>
      </c>
      <c r="F120" s="75" t="s">
        <v>105</v>
      </c>
      <c r="G120" s="75" t="s">
        <v>266</v>
      </c>
      <c r="H120" s="75" t="s">
        <v>98</v>
      </c>
      <c r="I120" s="75" t="s">
        <v>267</v>
      </c>
      <c r="J120" s="75" t="s">
        <v>268</v>
      </c>
      <c r="K120" s="75" t="s">
        <v>269</v>
      </c>
      <c r="L120" s="75" t="s">
        <v>270</v>
      </c>
      <c r="M120" s="76" t="s">
        <v>271</v>
      </c>
    </row>
    <row r="121" spans="1:13">
      <c r="A121" s="77"/>
      <c r="B121" s="78"/>
      <c r="C121" s="78" t="s">
        <v>88</v>
      </c>
      <c r="D121" s="78" t="s">
        <v>7</v>
      </c>
      <c r="E121" s="78" t="s">
        <v>7</v>
      </c>
      <c r="F121" s="78" t="s">
        <v>272</v>
      </c>
      <c r="G121" s="78" t="s">
        <v>89</v>
      </c>
      <c r="H121" s="78" t="s">
        <v>272</v>
      </c>
      <c r="I121" s="78" t="s">
        <v>272</v>
      </c>
      <c r="J121" s="78" t="s">
        <v>272</v>
      </c>
      <c r="K121" s="78" t="s">
        <v>273</v>
      </c>
      <c r="L121" s="78" t="s">
        <v>89</v>
      </c>
      <c r="M121" s="79" t="s">
        <v>90</v>
      </c>
    </row>
    <row r="122" spans="1:13">
      <c r="A122" s="180" t="s">
        <v>10</v>
      </c>
      <c r="B122" s="181"/>
      <c r="C122" s="181"/>
      <c r="D122" s="181"/>
      <c r="E122" s="181"/>
      <c r="F122" s="181"/>
      <c r="G122" s="181"/>
      <c r="H122" s="181"/>
      <c r="I122" s="181"/>
      <c r="J122" s="181"/>
      <c r="K122" s="181"/>
      <c r="L122" s="181"/>
      <c r="M122" s="182"/>
    </row>
    <row r="123" spans="1:13">
      <c r="A123" s="72" t="s">
        <v>91</v>
      </c>
      <c r="B123" s="73"/>
      <c r="C123" s="73"/>
      <c r="D123" s="73"/>
      <c r="E123" s="73"/>
      <c r="F123" s="73"/>
      <c r="G123" s="73"/>
      <c r="H123" s="73"/>
      <c r="I123" s="73"/>
      <c r="J123" s="73"/>
      <c r="K123" s="80"/>
      <c r="L123" s="73"/>
      <c r="M123" s="81"/>
    </row>
    <row r="124" spans="1:13">
      <c r="A124" s="74">
        <v>1</v>
      </c>
      <c r="B124" s="75" t="s">
        <v>19</v>
      </c>
      <c r="C124" s="75">
        <v>2</v>
      </c>
      <c r="D124" s="82">
        <v>3</v>
      </c>
      <c r="E124" s="82">
        <v>2.61</v>
      </c>
      <c r="F124" s="82">
        <f>D124*E124</f>
        <v>7.83</v>
      </c>
      <c r="G124" s="75">
        <f>$D$113</f>
        <v>0.747</v>
      </c>
      <c r="H124" s="82">
        <v>1.86</v>
      </c>
      <c r="I124" s="83">
        <f>H124/F124</f>
        <v>0.23754789272030652</v>
      </c>
      <c r="J124" s="82">
        <f>G124*(1-I124)*F124</f>
        <v>4.4595899999999995</v>
      </c>
      <c r="K124" s="84">
        <v>109.22</v>
      </c>
      <c r="L124" s="85">
        <v>0.9</v>
      </c>
      <c r="M124" s="86">
        <f>J124*L124*K124</f>
        <v>438.36877781999993</v>
      </c>
    </row>
    <row r="125" spans="1:13">
      <c r="A125" s="74" t="s">
        <v>92</v>
      </c>
      <c r="B125" s="75"/>
      <c r="C125" s="75"/>
      <c r="D125" s="75"/>
      <c r="E125" s="75"/>
      <c r="F125" s="75"/>
      <c r="G125" s="75"/>
      <c r="H125" s="75"/>
      <c r="I125" s="75"/>
      <c r="J125" s="75"/>
      <c r="K125" s="84"/>
      <c r="L125" s="85"/>
      <c r="M125" s="76"/>
    </row>
    <row r="126" spans="1:13">
      <c r="A126" s="74">
        <v>1</v>
      </c>
      <c r="B126" s="75" t="s">
        <v>19</v>
      </c>
      <c r="C126" s="75">
        <v>2</v>
      </c>
      <c r="D126" s="82">
        <v>3</v>
      </c>
      <c r="E126" s="82">
        <v>2.61</v>
      </c>
      <c r="F126" s="82">
        <f>D126*E126</f>
        <v>7.83</v>
      </c>
      <c r="G126" s="75">
        <f>$D$113</f>
        <v>0.747</v>
      </c>
      <c r="H126" s="82">
        <v>1.86</v>
      </c>
      <c r="I126" s="83">
        <f>H126/F126</f>
        <v>0.23754789272030652</v>
      </c>
      <c r="J126" s="82">
        <f>G126*(1-I126)*F126</f>
        <v>4.4595899999999995</v>
      </c>
      <c r="K126" s="84">
        <v>66.52</v>
      </c>
      <c r="L126" s="85">
        <v>0.9</v>
      </c>
      <c r="M126" s="86">
        <f>J126*L126*K126</f>
        <v>266.98673411999994</v>
      </c>
    </row>
    <row r="127" spans="1:13">
      <c r="A127" s="74" t="s">
        <v>93</v>
      </c>
      <c r="B127" s="75"/>
      <c r="C127" s="75"/>
      <c r="D127" s="75"/>
      <c r="E127" s="75"/>
      <c r="F127" s="75"/>
      <c r="G127" s="75"/>
      <c r="H127" s="75"/>
      <c r="I127" s="75"/>
      <c r="J127" s="75"/>
      <c r="K127" s="84"/>
      <c r="L127" s="85"/>
      <c r="M127" s="76"/>
    </row>
    <row r="128" spans="1:13">
      <c r="A128" s="74">
        <v>1</v>
      </c>
      <c r="B128" s="75" t="s">
        <v>19</v>
      </c>
      <c r="C128" s="75">
        <v>2</v>
      </c>
      <c r="D128" s="82">
        <v>3</v>
      </c>
      <c r="E128" s="82">
        <v>2.61</v>
      </c>
      <c r="F128" s="82">
        <f>D128*E128</f>
        <v>7.83</v>
      </c>
      <c r="G128" s="75">
        <f>$D$113</f>
        <v>0.747</v>
      </c>
      <c r="H128" s="82">
        <v>1.86</v>
      </c>
      <c r="I128" s="83">
        <f>H128/F128</f>
        <v>0.23754789272030652</v>
      </c>
      <c r="J128" s="82">
        <f>G128*(1-I128)*F128</f>
        <v>4.4595899999999995</v>
      </c>
      <c r="K128" s="84">
        <v>52.8</v>
      </c>
      <c r="L128" s="85">
        <v>0.9</v>
      </c>
      <c r="M128" s="86">
        <f>J128*L128*K128</f>
        <v>211.91971679999995</v>
      </c>
    </row>
    <row r="129" spans="1:13">
      <c r="A129" s="74" t="s">
        <v>94</v>
      </c>
      <c r="B129" s="75"/>
      <c r="C129" s="75"/>
      <c r="D129" s="75"/>
      <c r="E129" s="75"/>
      <c r="F129" s="75"/>
      <c r="G129" s="75"/>
      <c r="H129" s="75"/>
      <c r="I129" s="75"/>
      <c r="J129" s="75"/>
      <c r="K129" s="84"/>
      <c r="L129" s="85"/>
      <c r="M129" s="76"/>
    </row>
    <row r="130" spans="1:13">
      <c r="A130" s="74">
        <v>1</v>
      </c>
      <c r="B130" s="75" t="s">
        <v>19</v>
      </c>
      <c r="C130" s="75">
        <v>2</v>
      </c>
      <c r="D130" s="82">
        <v>3</v>
      </c>
      <c r="E130" s="82">
        <v>2.61</v>
      </c>
      <c r="F130" s="82">
        <f>D130*E130</f>
        <v>7.83</v>
      </c>
      <c r="G130" s="75">
        <f>$D$113</f>
        <v>0.747</v>
      </c>
      <c r="H130" s="82">
        <v>1.86</v>
      </c>
      <c r="I130" s="83">
        <f>H130/F130</f>
        <v>0.23754789272030652</v>
      </c>
      <c r="J130" s="82">
        <f>G130*(1-I130)*F130</f>
        <v>4.4595899999999995</v>
      </c>
      <c r="K130" s="84">
        <v>64.25</v>
      </c>
      <c r="L130" s="85">
        <v>0.9</v>
      </c>
      <c r="M130" s="86">
        <f>J130*L130*K130</f>
        <v>257.87579174999996</v>
      </c>
    </row>
    <row r="131" spans="1:13">
      <c r="A131" s="74" t="s">
        <v>95</v>
      </c>
      <c r="B131" s="75"/>
      <c r="C131" s="75"/>
      <c r="D131" s="75"/>
      <c r="E131" s="75"/>
      <c r="F131" s="75"/>
      <c r="G131" s="75"/>
      <c r="H131" s="75"/>
      <c r="I131" s="75"/>
      <c r="J131" s="75"/>
      <c r="K131" s="84"/>
      <c r="L131" s="85"/>
      <c r="M131" s="76"/>
    </row>
    <row r="132" spans="1:13">
      <c r="A132" s="74">
        <v>1</v>
      </c>
      <c r="B132" s="75" t="s">
        <v>19</v>
      </c>
      <c r="C132" s="75">
        <v>2</v>
      </c>
      <c r="D132" s="82">
        <v>3</v>
      </c>
      <c r="E132" s="82">
        <v>2.61</v>
      </c>
      <c r="F132" s="82">
        <f>D132*E132</f>
        <v>7.83</v>
      </c>
      <c r="G132" s="75">
        <f>$D$113</f>
        <v>0.747</v>
      </c>
      <c r="H132" s="82">
        <v>1.86</v>
      </c>
      <c r="I132" s="83">
        <f>H132/F132</f>
        <v>0.23754789272030652</v>
      </c>
      <c r="J132" s="82">
        <f>G132*(1-I132)*F132</f>
        <v>4.4595899999999995</v>
      </c>
      <c r="K132" s="84">
        <v>76.98</v>
      </c>
      <c r="L132" s="85">
        <v>0.9</v>
      </c>
      <c r="M132" s="86">
        <f>J132*L132*K132</f>
        <v>308.96931437999996</v>
      </c>
    </row>
    <row r="133" spans="1:13">
      <c r="A133" s="74" t="s">
        <v>96</v>
      </c>
      <c r="B133" s="75"/>
      <c r="C133" s="75"/>
      <c r="D133" s="75"/>
      <c r="E133" s="75"/>
      <c r="F133" s="75"/>
      <c r="G133" s="75"/>
      <c r="H133" s="75"/>
      <c r="I133" s="75"/>
      <c r="J133" s="75"/>
      <c r="K133" s="84"/>
      <c r="L133" s="85"/>
      <c r="M133" s="76"/>
    </row>
    <row r="134" spans="1:13">
      <c r="A134" s="74">
        <v>1</v>
      </c>
      <c r="B134" s="75" t="s">
        <v>19</v>
      </c>
      <c r="C134" s="75">
        <v>2</v>
      </c>
      <c r="D134" s="82">
        <v>3</v>
      </c>
      <c r="E134" s="82">
        <v>2.61</v>
      </c>
      <c r="F134" s="82">
        <f>D134*E134</f>
        <v>7.83</v>
      </c>
      <c r="G134" s="75">
        <f>$D$113</f>
        <v>0.747</v>
      </c>
      <c r="H134" s="82">
        <v>1.86</v>
      </c>
      <c r="I134" s="83">
        <f>H134/F134</f>
        <v>0.23754789272030652</v>
      </c>
      <c r="J134" s="82">
        <f>G134*(1-I134)*F134</f>
        <v>4.4595899999999995</v>
      </c>
      <c r="K134" s="84">
        <v>96.43</v>
      </c>
      <c r="L134" s="85">
        <v>0.9</v>
      </c>
      <c r="M134" s="86">
        <f>J134*L134*K134</f>
        <v>387.03443732999995</v>
      </c>
    </row>
    <row r="135" spans="1:13">
      <c r="A135" s="74" t="s">
        <v>97</v>
      </c>
      <c r="B135" s="75"/>
      <c r="C135" s="75"/>
      <c r="D135" s="75"/>
      <c r="E135" s="75"/>
      <c r="F135" s="75"/>
      <c r="G135" s="75"/>
      <c r="H135" s="75"/>
      <c r="I135" s="75"/>
      <c r="J135" s="75"/>
      <c r="K135" s="84"/>
      <c r="L135" s="85"/>
      <c r="M135" s="76"/>
    </row>
    <row r="136" spans="1:13">
      <c r="A136" s="74">
        <v>1</v>
      </c>
      <c r="B136" s="75" t="s">
        <v>19</v>
      </c>
      <c r="C136" s="75">
        <v>2</v>
      </c>
      <c r="D136" s="82">
        <v>3</v>
      </c>
      <c r="E136" s="82">
        <v>2.61</v>
      </c>
      <c r="F136" s="82">
        <f>D136*E136</f>
        <v>7.83</v>
      </c>
      <c r="G136" s="75">
        <f>$D$113</f>
        <v>0.747</v>
      </c>
      <c r="H136" s="82">
        <v>1.86</v>
      </c>
      <c r="I136" s="83">
        <f>H136/F136</f>
        <v>0.23754789272030652</v>
      </c>
      <c r="J136" s="82">
        <f>G136*(1-I136)*F136</f>
        <v>4.4595899999999995</v>
      </c>
      <c r="K136" s="84">
        <v>86.73</v>
      </c>
      <c r="L136" s="85">
        <v>0.9</v>
      </c>
      <c r="M136" s="86">
        <f>J136*L136*K136</f>
        <v>348.10221662999993</v>
      </c>
    </row>
    <row r="137" spans="1:13">
      <c r="A137" s="180" t="s">
        <v>8</v>
      </c>
      <c r="B137" s="181"/>
      <c r="C137" s="181"/>
      <c r="D137" s="181"/>
      <c r="E137" s="181"/>
      <c r="F137" s="181"/>
      <c r="G137" s="181"/>
      <c r="H137" s="181"/>
      <c r="I137" s="181"/>
      <c r="J137" s="181"/>
      <c r="K137" s="181"/>
      <c r="L137" s="181"/>
      <c r="M137" s="182"/>
    </row>
    <row r="138" spans="1:13">
      <c r="A138" s="72" t="s">
        <v>91</v>
      </c>
      <c r="B138" s="73"/>
      <c r="C138" s="73"/>
      <c r="D138" s="73"/>
      <c r="E138" s="73"/>
      <c r="F138" s="73"/>
      <c r="G138" s="73"/>
      <c r="H138" s="73"/>
      <c r="I138" s="73"/>
      <c r="J138" s="73"/>
      <c r="K138" s="87"/>
      <c r="L138" s="80"/>
      <c r="M138" s="81"/>
    </row>
    <row r="139" spans="1:13">
      <c r="A139" s="74">
        <v>1</v>
      </c>
      <c r="B139" s="75" t="s">
        <v>16</v>
      </c>
      <c r="C139" s="75">
        <v>2</v>
      </c>
      <c r="D139" s="82">
        <v>1.83</v>
      </c>
      <c r="E139" s="82">
        <v>2.61</v>
      </c>
      <c r="F139" s="82">
        <f>D139*E139</f>
        <v>4.7763</v>
      </c>
      <c r="G139" s="75">
        <f>$D$113</f>
        <v>0.747</v>
      </c>
      <c r="H139" s="82">
        <v>1.4</v>
      </c>
      <c r="I139" s="83">
        <f>H139/F139</f>
        <v>0.29311391663002739</v>
      </c>
      <c r="J139" s="82">
        <f>G139*(1-I139)*F139</f>
        <v>2.5220961000000002</v>
      </c>
      <c r="K139" s="88">
        <v>29.16</v>
      </c>
      <c r="L139" s="85">
        <v>0.9</v>
      </c>
      <c r="M139" s="86">
        <f>J139*L139*K139</f>
        <v>66.189890048400002</v>
      </c>
    </row>
    <row r="140" spans="1:13">
      <c r="A140" s="74">
        <v>2</v>
      </c>
      <c r="B140" s="75" t="s">
        <v>17</v>
      </c>
      <c r="C140" s="75">
        <v>2</v>
      </c>
      <c r="D140" s="82">
        <v>3.25</v>
      </c>
      <c r="E140" s="82">
        <v>2.61</v>
      </c>
      <c r="F140" s="82">
        <f>D140*E140</f>
        <v>8.4824999999999999</v>
      </c>
      <c r="G140" s="75">
        <f>$D$113</f>
        <v>0.747</v>
      </c>
      <c r="H140" s="82">
        <v>1.55</v>
      </c>
      <c r="I140" s="83">
        <f>H140/F140</f>
        <v>0.18272914824638964</v>
      </c>
      <c r="J140" s="82">
        <f>G140*(1-I140)*F140</f>
        <v>5.1785774999999994</v>
      </c>
      <c r="K140" s="88">
        <v>29.16</v>
      </c>
      <c r="L140" s="85">
        <v>0.6</v>
      </c>
      <c r="M140" s="86">
        <f>J140*L140*K140</f>
        <v>90.604391939999985</v>
      </c>
    </row>
    <row r="141" spans="1:13">
      <c r="A141" s="74">
        <v>3</v>
      </c>
      <c r="B141" s="75" t="s">
        <v>18</v>
      </c>
      <c r="C141" s="75">
        <v>2</v>
      </c>
      <c r="D141" s="82">
        <v>0.93</v>
      </c>
      <c r="E141" s="82">
        <v>2.61</v>
      </c>
      <c r="F141" s="82">
        <f>D141*E141</f>
        <v>2.4272999999999998</v>
      </c>
      <c r="G141" s="75">
        <f>$D$113</f>
        <v>0.747</v>
      </c>
      <c r="H141" s="82">
        <v>0.86</v>
      </c>
      <c r="I141" s="83">
        <f>H141/F141</f>
        <v>0.35430313517076589</v>
      </c>
      <c r="J141" s="82">
        <f>G141*(1-I141)*F141</f>
        <v>1.1707730999999997</v>
      </c>
      <c r="K141" s="88">
        <v>29.16</v>
      </c>
      <c r="L141" s="85">
        <v>0.9</v>
      </c>
      <c r="M141" s="86">
        <f>J141*L141*K141</f>
        <v>30.725769236399991</v>
      </c>
    </row>
    <row r="142" spans="1:13">
      <c r="A142" s="74">
        <v>4</v>
      </c>
      <c r="B142" s="75" t="s">
        <v>106</v>
      </c>
      <c r="C142" s="75">
        <v>1</v>
      </c>
      <c r="D142" s="82">
        <v>1.6</v>
      </c>
      <c r="E142" s="82">
        <v>2.62</v>
      </c>
      <c r="F142" s="82">
        <f>D142*E142</f>
        <v>4.1920000000000002</v>
      </c>
      <c r="G142" s="75">
        <f>$D$113</f>
        <v>0.747</v>
      </c>
      <c r="H142" s="82">
        <v>3.12</v>
      </c>
      <c r="I142" s="83">
        <f>H142/F142</f>
        <v>0.74427480916030531</v>
      </c>
      <c r="J142" s="82">
        <f>G142*(1-I142)*F142</f>
        <v>0.80078400000000005</v>
      </c>
      <c r="K142" s="88">
        <v>29.16</v>
      </c>
      <c r="L142" s="85">
        <v>0.6</v>
      </c>
      <c r="M142" s="86">
        <f>J142*L142*K142</f>
        <v>14.010516864000001</v>
      </c>
    </row>
    <row r="143" spans="1:13">
      <c r="A143" s="74" t="s">
        <v>92</v>
      </c>
      <c r="B143" s="75"/>
      <c r="C143" s="75"/>
      <c r="D143" s="75"/>
      <c r="E143" s="75"/>
      <c r="F143" s="75"/>
      <c r="G143" s="75"/>
      <c r="H143" s="75"/>
      <c r="I143" s="75"/>
      <c r="J143" s="75"/>
      <c r="K143" s="84"/>
      <c r="L143" s="85"/>
      <c r="M143" s="76"/>
    </row>
    <row r="144" spans="1:13">
      <c r="A144" s="74">
        <v>1</v>
      </c>
      <c r="B144" s="75" t="s">
        <v>16</v>
      </c>
      <c r="C144" s="75">
        <v>2</v>
      </c>
      <c r="D144" s="82">
        <v>1.83</v>
      </c>
      <c r="E144" s="82">
        <v>2.61</v>
      </c>
      <c r="F144" s="82">
        <f>D144*E144</f>
        <v>4.7763</v>
      </c>
      <c r="G144" s="75">
        <f>$D$113</f>
        <v>0.747</v>
      </c>
      <c r="H144" s="82">
        <v>1.4</v>
      </c>
      <c r="I144" s="83">
        <f>H144/F144</f>
        <v>0.29311391663002739</v>
      </c>
      <c r="J144" s="82">
        <f>G144*(1-I144)*F144</f>
        <v>2.5220961000000002</v>
      </c>
      <c r="K144" s="88">
        <v>17.93</v>
      </c>
      <c r="L144" s="85">
        <v>0.9</v>
      </c>
      <c r="M144" s="86">
        <f>J144*L144*K144</f>
        <v>40.699064765700001</v>
      </c>
    </row>
    <row r="145" spans="1:13">
      <c r="A145" s="74">
        <v>2</v>
      </c>
      <c r="B145" s="75" t="s">
        <v>17</v>
      </c>
      <c r="C145" s="75">
        <v>2</v>
      </c>
      <c r="D145" s="82">
        <v>3.25</v>
      </c>
      <c r="E145" s="82">
        <v>2.61</v>
      </c>
      <c r="F145" s="82">
        <f>D145*E145</f>
        <v>8.4824999999999999</v>
      </c>
      <c r="G145" s="75">
        <f>$D$113</f>
        <v>0.747</v>
      </c>
      <c r="H145" s="82">
        <v>1.55</v>
      </c>
      <c r="I145" s="83">
        <f>H145/F145</f>
        <v>0.18272914824638964</v>
      </c>
      <c r="J145" s="82">
        <f>G145*(1-I145)*F145</f>
        <v>5.1785774999999994</v>
      </c>
      <c r="K145" s="88">
        <v>17.93</v>
      </c>
      <c r="L145" s="85">
        <v>0.6</v>
      </c>
      <c r="M145" s="86">
        <f>J145*L145*K145</f>
        <v>55.71113674499999</v>
      </c>
    </row>
    <row r="146" spans="1:13">
      <c r="A146" s="74">
        <v>3</v>
      </c>
      <c r="B146" s="75" t="s">
        <v>18</v>
      </c>
      <c r="C146" s="75">
        <v>2</v>
      </c>
      <c r="D146" s="82">
        <v>0.93</v>
      </c>
      <c r="E146" s="82">
        <v>2.61</v>
      </c>
      <c r="F146" s="82">
        <f>D146*E146</f>
        <v>2.4272999999999998</v>
      </c>
      <c r="G146" s="75">
        <f>$D$113</f>
        <v>0.747</v>
      </c>
      <c r="H146" s="82">
        <v>0.86</v>
      </c>
      <c r="I146" s="83">
        <f>H146/F146</f>
        <v>0.35430313517076589</v>
      </c>
      <c r="J146" s="82">
        <f>G146*(1-I146)*F146</f>
        <v>1.1707730999999997</v>
      </c>
      <c r="K146" s="88">
        <v>17.93</v>
      </c>
      <c r="L146" s="85">
        <v>0.9</v>
      </c>
      <c r="M146" s="86">
        <f>J146*L146*K146</f>
        <v>18.892765514699995</v>
      </c>
    </row>
    <row r="147" spans="1:13">
      <c r="A147" s="74">
        <v>4</v>
      </c>
      <c r="B147" s="75" t="s">
        <v>106</v>
      </c>
      <c r="C147" s="75">
        <v>1</v>
      </c>
      <c r="D147" s="82">
        <v>1.6</v>
      </c>
      <c r="E147" s="82">
        <v>2.62</v>
      </c>
      <c r="F147" s="82">
        <f>D147*E147</f>
        <v>4.1920000000000002</v>
      </c>
      <c r="G147" s="75">
        <f>$D$113</f>
        <v>0.747</v>
      </c>
      <c r="H147" s="82">
        <v>3.12</v>
      </c>
      <c r="I147" s="83">
        <f>H147/F147</f>
        <v>0.74427480916030531</v>
      </c>
      <c r="J147" s="82">
        <f>G147*(1-I147)*F147</f>
        <v>0.80078400000000005</v>
      </c>
      <c r="K147" s="88">
        <v>17.93</v>
      </c>
      <c r="L147" s="85">
        <v>0.6</v>
      </c>
      <c r="M147" s="86">
        <f>J147*L147*K147</f>
        <v>8.6148342719999995</v>
      </c>
    </row>
    <row r="148" spans="1:13">
      <c r="A148" s="74" t="s">
        <v>93</v>
      </c>
      <c r="B148" s="75"/>
      <c r="C148" s="75"/>
      <c r="D148" s="75"/>
      <c r="E148" s="75"/>
      <c r="F148" s="75"/>
      <c r="G148" s="75"/>
      <c r="H148" s="75"/>
      <c r="I148" s="75"/>
      <c r="J148" s="75"/>
      <c r="K148" s="84"/>
      <c r="L148" s="85"/>
      <c r="M148" s="76"/>
    </row>
    <row r="149" spans="1:13">
      <c r="A149" s="74">
        <v>1</v>
      </c>
      <c r="B149" s="75" t="s">
        <v>16</v>
      </c>
      <c r="C149" s="75">
        <v>2</v>
      </c>
      <c r="D149" s="82">
        <v>1.83</v>
      </c>
      <c r="E149" s="82">
        <v>2.61</v>
      </c>
      <c r="F149" s="82">
        <f>D149*E149</f>
        <v>4.7763</v>
      </c>
      <c r="G149" s="75">
        <f>$D$113</f>
        <v>0.747</v>
      </c>
      <c r="H149" s="82">
        <v>1.4</v>
      </c>
      <c r="I149" s="83">
        <f>H149/F149</f>
        <v>0.29311391663002739</v>
      </c>
      <c r="J149" s="82">
        <f>G149*(1-I149)*F149</f>
        <v>2.5220961000000002</v>
      </c>
      <c r="K149" s="88">
        <v>14.31</v>
      </c>
      <c r="L149" s="85">
        <v>0.9</v>
      </c>
      <c r="M149" s="86">
        <f>J149*L149*K149</f>
        <v>32.482075671900006</v>
      </c>
    </row>
    <row r="150" spans="1:13">
      <c r="A150" s="74">
        <v>2</v>
      </c>
      <c r="B150" s="75" t="s">
        <v>17</v>
      </c>
      <c r="C150" s="75">
        <v>2</v>
      </c>
      <c r="D150" s="82">
        <v>3.25</v>
      </c>
      <c r="E150" s="82">
        <v>2.61</v>
      </c>
      <c r="F150" s="82">
        <f>D150*E150</f>
        <v>8.4824999999999999</v>
      </c>
      <c r="G150" s="75">
        <f>$D$113</f>
        <v>0.747</v>
      </c>
      <c r="H150" s="82">
        <v>1.55</v>
      </c>
      <c r="I150" s="83">
        <f>H150/F150</f>
        <v>0.18272914824638964</v>
      </c>
      <c r="J150" s="82">
        <f>G150*(1-I150)*F150</f>
        <v>5.1785774999999994</v>
      </c>
      <c r="K150" s="88">
        <v>14.31</v>
      </c>
      <c r="L150" s="85">
        <v>0.6</v>
      </c>
      <c r="M150" s="86">
        <f>J150*L150*K150</f>
        <v>44.463266414999993</v>
      </c>
    </row>
    <row r="151" spans="1:13">
      <c r="A151" s="74">
        <v>3</v>
      </c>
      <c r="B151" s="75" t="s">
        <v>18</v>
      </c>
      <c r="C151" s="75">
        <v>2</v>
      </c>
      <c r="D151" s="82">
        <v>0.93</v>
      </c>
      <c r="E151" s="82">
        <v>2.61</v>
      </c>
      <c r="F151" s="82">
        <f>D151*E151</f>
        <v>2.4272999999999998</v>
      </c>
      <c r="G151" s="75">
        <f>$D$113</f>
        <v>0.747</v>
      </c>
      <c r="H151" s="82">
        <v>0.86</v>
      </c>
      <c r="I151" s="83">
        <f>H151/F151</f>
        <v>0.35430313517076589</v>
      </c>
      <c r="J151" s="82">
        <f>G151*(1-I151)*F151</f>
        <v>1.1707730999999997</v>
      </c>
      <c r="K151" s="88">
        <v>14.31</v>
      </c>
      <c r="L151" s="85">
        <v>0.9</v>
      </c>
      <c r="M151" s="86">
        <f>J151*L151*K151</f>
        <v>15.078386754899997</v>
      </c>
    </row>
    <row r="152" spans="1:13">
      <c r="A152" s="74">
        <v>4</v>
      </c>
      <c r="B152" s="75" t="s">
        <v>106</v>
      </c>
      <c r="C152" s="75">
        <v>1</v>
      </c>
      <c r="D152" s="82">
        <v>1.6</v>
      </c>
      <c r="E152" s="82">
        <v>2.62</v>
      </c>
      <c r="F152" s="82">
        <f>D152*E152</f>
        <v>4.1920000000000002</v>
      </c>
      <c r="G152" s="75">
        <f>$D$113</f>
        <v>0.747</v>
      </c>
      <c r="H152" s="82">
        <v>3.12</v>
      </c>
      <c r="I152" s="83">
        <f>H152/F152</f>
        <v>0.74427480916030531</v>
      </c>
      <c r="J152" s="82">
        <f>G152*(1-I152)*F152</f>
        <v>0.80078400000000005</v>
      </c>
      <c r="K152" s="88">
        <v>14.31</v>
      </c>
      <c r="L152" s="85">
        <v>0.6</v>
      </c>
      <c r="M152" s="86">
        <f>J152*L152*K152</f>
        <v>6.8755314240000009</v>
      </c>
    </row>
    <row r="153" spans="1:13">
      <c r="A153" s="74" t="s">
        <v>94</v>
      </c>
      <c r="B153" s="75"/>
      <c r="C153" s="75"/>
      <c r="D153" s="75"/>
      <c r="E153" s="75"/>
      <c r="F153" s="75"/>
      <c r="G153" s="75"/>
      <c r="H153" s="75"/>
      <c r="I153" s="75"/>
      <c r="J153" s="75"/>
      <c r="K153" s="84"/>
      <c r="L153" s="85"/>
      <c r="M153" s="76"/>
    </row>
    <row r="154" spans="1:13">
      <c r="A154" s="74">
        <v>1</v>
      </c>
      <c r="B154" s="75" t="s">
        <v>16</v>
      </c>
      <c r="C154" s="75">
        <v>2</v>
      </c>
      <c r="D154" s="82">
        <v>1.83</v>
      </c>
      <c r="E154" s="82">
        <v>2.61</v>
      </c>
      <c r="F154" s="82">
        <f>D154*E154</f>
        <v>4.7763</v>
      </c>
      <c r="G154" s="75">
        <f>$D$113</f>
        <v>0.747</v>
      </c>
      <c r="H154" s="82">
        <v>1.4</v>
      </c>
      <c r="I154" s="83">
        <f>H154/F154</f>
        <v>0.29311391663002739</v>
      </c>
      <c r="J154" s="82">
        <f>G154*(1-I154)*F154</f>
        <v>2.5220961000000002</v>
      </c>
      <c r="K154" s="88">
        <v>17.420000000000002</v>
      </c>
      <c r="L154" s="85">
        <v>0.9</v>
      </c>
      <c r="M154" s="86">
        <f>J154*L154*K154</f>
        <v>39.541422655800005</v>
      </c>
    </row>
    <row r="155" spans="1:13">
      <c r="A155" s="74">
        <v>2</v>
      </c>
      <c r="B155" s="75" t="s">
        <v>17</v>
      </c>
      <c r="C155" s="75">
        <v>2</v>
      </c>
      <c r="D155" s="82">
        <v>3.25</v>
      </c>
      <c r="E155" s="82">
        <v>2.61</v>
      </c>
      <c r="F155" s="82">
        <f>D155*E155</f>
        <v>8.4824999999999999</v>
      </c>
      <c r="G155" s="75">
        <f>$D$113</f>
        <v>0.747</v>
      </c>
      <c r="H155" s="82">
        <v>1.55</v>
      </c>
      <c r="I155" s="83">
        <f>H155/F155</f>
        <v>0.18272914824638964</v>
      </c>
      <c r="J155" s="82">
        <f>G155*(1-I155)*F155</f>
        <v>5.1785774999999994</v>
      </c>
      <c r="K155" s="88">
        <v>17.420000000000002</v>
      </c>
      <c r="L155" s="85">
        <v>0.6</v>
      </c>
      <c r="M155" s="86">
        <f>J155*L155*K155</f>
        <v>54.126492029999994</v>
      </c>
    </row>
    <row r="156" spans="1:13">
      <c r="A156" s="74">
        <v>3</v>
      </c>
      <c r="B156" s="75" t="s">
        <v>18</v>
      </c>
      <c r="C156" s="75">
        <v>2</v>
      </c>
      <c r="D156" s="82">
        <v>0.93</v>
      </c>
      <c r="E156" s="82">
        <v>2.61</v>
      </c>
      <c r="F156" s="82">
        <f>D156*E156</f>
        <v>2.4272999999999998</v>
      </c>
      <c r="G156" s="75">
        <f>$D$113</f>
        <v>0.747</v>
      </c>
      <c r="H156" s="82">
        <v>0.86</v>
      </c>
      <c r="I156" s="83">
        <f>H156/F156</f>
        <v>0.35430313517076589</v>
      </c>
      <c r="J156" s="82">
        <f>G156*(1-I156)*F156</f>
        <v>1.1707730999999997</v>
      </c>
      <c r="K156" s="88">
        <v>17.420000000000002</v>
      </c>
      <c r="L156" s="85">
        <v>0.9</v>
      </c>
      <c r="M156" s="86">
        <f>J156*L156*K156</f>
        <v>18.355380661799995</v>
      </c>
    </row>
    <row r="157" spans="1:13">
      <c r="A157" s="74">
        <v>4</v>
      </c>
      <c r="B157" s="75" t="s">
        <v>106</v>
      </c>
      <c r="C157" s="75">
        <v>1</v>
      </c>
      <c r="D157" s="82">
        <v>1.6</v>
      </c>
      <c r="E157" s="82">
        <v>2.62</v>
      </c>
      <c r="F157" s="82">
        <f>D157*E157</f>
        <v>4.1920000000000002</v>
      </c>
      <c r="G157" s="75">
        <f>$D$113</f>
        <v>0.747</v>
      </c>
      <c r="H157" s="82">
        <v>3.12</v>
      </c>
      <c r="I157" s="83">
        <f>H157/F157</f>
        <v>0.74427480916030531</v>
      </c>
      <c r="J157" s="82">
        <f>G157*(1-I157)*F157</f>
        <v>0.80078400000000005</v>
      </c>
      <c r="K157" s="88">
        <v>17.420000000000002</v>
      </c>
      <c r="L157" s="85">
        <v>0.6</v>
      </c>
      <c r="M157" s="86">
        <f>J157*L157*K157</f>
        <v>8.3697943680000009</v>
      </c>
    </row>
    <row r="158" spans="1:13">
      <c r="A158" s="74" t="s">
        <v>95</v>
      </c>
      <c r="B158" s="75"/>
      <c r="C158" s="75"/>
      <c r="D158" s="75"/>
      <c r="E158" s="75"/>
      <c r="F158" s="75"/>
      <c r="G158" s="75"/>
      <c r="H158" s="75"/>
      <c r="I158" s="75"/>
      <c r="J158" s="75"/>
      <c r="K158" s="84"/>
      <c r="L158" s="85"/>
      <c r="M158" s="76"/>
    </row>
    <row r="159" spans="1:13">
      <c r="A159" s="74">
        <v>1</v>
      </c>
      <c r="B159" s="75" t="s">
        <v>16</v>
      </c>
      <c r="C159" s="75">
        <v>2</v>
      </c>
      <c r="D159" s="82">
        <v>1.83</v>
      </c>
      <c r="E159" s="82">
        <v>2.61</v>
      </c>
      <c r="F159" s="82">
        <f>D159*E159</f>
        <v>4.7763</v>
      </c>
      <c r="G159" s="75">
        <f>$D$113</f>
        <v>0.747</v>
      </c>
      <c r="H159" s="82">
        <v>1.4</v>
      </c>
      <c r="I159" s="83">
        <f>H159/F159</f>
        <v>0.29311391663002739</v>
      </c>
      <c r="J159" s="82">
        <f>G159*(1-I159)*F159</f>
        <v>2.5220961000000002</v>
      </c>
      <c r="K159" s="88">
        <v>22.38</v>
      </c>
      <c r="L159" s="85">
        <v>0.9</v>
      </c>
      <c r="M159" s="86">
        <f>J159*L159*K159</f>
        <v>50.800059646200005</v>
      </c>
    </row>
    <row r="160" spans="1:13">
      <c r="A160" s="74">
        <v>2</v>
      </c>
      <c r="B160" s="75" t="s">
        <v>17</v>
      </c>
      <c r="C160" s="75">
        <v>2</v>
      </c>
      <c r="D160" s="82">
        <v>3.25</v>
      </c>
      <c r="E160" s="82">
        <v>2.61</v>
      </c>
      <c r="F160" s="82">
        <f>D160*E160</f>
        <v>8.4824999999999999</v>
      </c>
      <c r="G160" s="75">
        <f>$D$113</f>
        <v>0.747</v>
      </c>
      <c r="H160" s="82">
        <v>1.55</v>
      </c>
      <c r="I160" s="83">
        <f>H160/F160</f>
        <v>0.18272914824638964</v>
      </c>
      <c r="J160" s="82">
        <f>G160*(1-I160)*F160</f>
        <v>5.1785774999999994</v>
      </c>
      <c r="K160" s="88">
        <v>22.38</v>
      </c>
      <c r="L160" s="85">
        <v>0.6</v>
      </c>
      <c r="M160" s="86">
        <f>J160*L160*K160</f>
        <v>69.537938669999988</v>
      </c>
    </row>
    <row r="161" spans="1:13">
      <c r="A161" s="74">
        <v>3</v>
      </c>
      <c r="B161" s="75" t="s">
        <v>18</v>
      </c>
      <c r="C161" s="75">
        <v>2</v>
      </c>
      <c r="D161" s="82">
        <v>0.93</v>
      </c>
      <c r="E161" s="82">
        <v>2.61</v>
      </c>
      <c r="F161" s="82">
        <f>D161*E161</f>
        <v>2.4272999999999998</v>
      </c>
      <c r="G161" s="75">
        <f>$D$113</f>
        <v>0.747</v>
      </c>
      <c r="H161" s="82">
        <v>0.86</v>
      </c>
      <c r="I161" s="83">
        <f>H161/F161</f>
        <v>0.35430313517076589</v>
      </c>
      <c r="J161" s="82">
        <f>G161*(1-I161)*F161</f>
        <v>1.1707730999999997</v>
      </c>
      <c r="K161" s="88">
        <v>22.38</v>
      </c>
      <c r="L161" s="85">
        <v>0.9</v>
      </c>
      <c r="M161" s="86">
        <f>J161*L161*K161</f>
        <v>23.581711780199992</v>
      </c>
    </row>
    <row r="162" spans="1:13">
      <c r="A162" s="74">
        <v>4</v>
      </c>
      <c r="B162" s="75" t="s">
        <v>106</v>
      </c>
      <c r="C162" s="75">
        <v>1</v>
      </c>
      <c r="D162" s="82">
        <v>1.6</v>
      </c>
      <c r="E162" s="82">
        <v>2.62</v>
      </c>
      <c r="F162" s="82">
        <f>D162*E162</f>
        <v>4.1920000000000002</v>
      </c>
      <c r="G162" s="75">
        <f>$D$113</f>
        <v>0.747</v>
      </c>
      <c r="H162" s="82">
        <v>3.12</v>
      </c>
      <c r="I162" s="83">
        <f>H162/F162</f>
        <v>0.74427480916030531</v>
      </c>
      <c r="J162" s="82">
        <f>G162*(1-I162)*F162</f>
        <v>0.80078400000000005</v>
      </c>
      <c r="K162" s="88">
        <v>22.38</v>
      </c>
      <c r="L162" s="85">
        <v>0.6</v>
      </c>
      <c r="M162" s="86">
        <f>J162*L162*K162</f>
        <v>10.752927551999999</v>
      </c>
    </row>
    <row r="163" spans="1:13">
      <c r="A163" s="74" t="s">
        <v>96</v>
      </c>
      <c r="B163" s="75"/>
      <c r="C163" s="75"/>
      <c r="D163" s="75"/>
      <c r="E163" s="75"/>
      <c r="F163" s="75"/>
      <c r="G163" s="75"/>
      <c r="H163" s="75"/>
      <c r="I163" s="75"/>
      <c r="J163" s="75"/>
      <c r="K163" s="84"/>
      <c r="L163" s="85"/>
      <c r="M163" s="76"/>
    </row>
    <row r="164" spans="1:13">
      <c r="A164" s="74">
        <v>1</v>
      </c>
      <c r="B164" s="75" t="s">
        <v>16</v>
      </c>
      <c r="C164" s="75">
        <v>2</v>
      </c>
      <c r="D164" s="82">
        <v>1.83</v>
      </c>
      <c r="E164" s="82">
        <v>2.61</v>
      </c>
      <c r="F164" s="82">
        <f>D164*E164</f>
        <v>4.7763</v>
      </c>
      <c r="G164" s="75">
        <f>$D$113</f>
        <v>0.747</v>
      </c>
      <c r="H164" s="82">
        <v>1.4</v>
      </c>
      <c r="I164" s="83">
        <f>H164/F164</f>
        <v>0.29311391663002739</v>
      </c>
      <c r="J164" s="82">
        <f>G164*(1-I164)*F164</f>
        <v>2.5220961000000002</v>
      </c>
      <c r="K164" s="88">
        <v>36.04</v>
      </c>
      <c r="L164" s="85">
        <v>0.9</v>
      </c>
      <c r="M164" s="86">
        <f>J164*L164*K164</f>
        <v>81.806709099599999</v>
      </c>
    </row>
    <row r="165" spans="1:13">
      <c r="A165" s="74">
        <v>2</v>
      </c>
      <c r="B165" s="75" t="s">
        <v>17</v>
      </c>
      <c r="C165" s="75">
        <v>2</v>
      </c>
      <c r="D165" s="82">
        <v>3.25</v>
      </c>
      <c r="E165" s="82">
        <v>2.61</v>
      </c>
      <c r="F165" s="82">
        <f>D165*E165</f>
        <v>8.4824999999999999</v>
      </c>
      <c r="G165" s="75">
        <f>$D$113</f>
        <v>0.747</v>
      </c>
      <c r="H165" s="82">
        <v>1.55</v>
      </c>
      <c r="I165" s="83">
        <f>H165/F165</f>
        <v>0.18272914824638964</v>
      </c>
      <c r="J165" s="82">
        <f>G165*(1-I165)*F165</f>
        <v>5.1785774999999994</v>
      </c>
      <c r="K165" s="88">
        <v>36.04</v>
      </c>
      <c r="L165" s="85">
        <v>0.6</v>
      </c>
      <c r="M165" s="86">
        <f>J165*L165*K165</f>
        <v>111.98155985999998</v>
      </c>
    </row>
    <row r="166" spans="1:13">
      <c r="A166" s="74">
        <v>3</v>
      </c>
      <c r="B166" s="75" t="s">
        <v>18</v>
      </c>
      <c r="C166" s="75">
        <v>2</v>
      </c>
      <c r="D166" s="82">
        <v>0.93</v>
      </c>
      <c r="E166" s="82">
        <v>2.61</v>
      </c>
      <c r="F166" s="82">
        <f>D166*E166</f>
        <v>2.4272999999999998</v>
      </c>
      <c r="G166" s="75">
        <f>$D$113</f>
        <v>0.747</v>
      </c>
      <c r="H166" s="82">
        <v>0.86</v>
      </c>
      <c r="I166" s="83">
        <f>H166/F166</f>
        <v>0.35430313517076589</v>
      </c>
      <c r="J166" s="82">
        <f>G166*(1-I166)*F166</f>
        <v>1.1707730999999997</v>
      </c>
      <c r="K166" s="88">
        <v>36.04</v>
      </c>
      <c r="L166" s="85">
        <v>0.9</v>
      </c>
      <c r="M166" s="86">
        <f>J166*L166*K166</f>
        <v>37.975196271599991</v>
      </c>
    </row>
    <row r="167" spans="1:13">
      <c r="A167" s="74">
        <v>4</v>
      </c>
      <c r="B167" s="75" t="s">
        <v>106</v>
      </c>
      <c r="C167" s="75">
        <v>1</v>
      </c>
      <c r="D167" s="82">
        <v>1.6</v>
      </c>
      <c r="E167" s="82">
        <v>2.62</v>
      </c>
      <c r="F167" s="82">
        <f>D167*E167</f>
        <v>4.1920000000000002</v>
      </c>
      <c r="G167" s="75">
        <f>$D$113</f>
        <v>0.747</v>
      </c>
      <c r="H167" s="82">
        <v>3.12</v>
      </c>
      <c r="I167" s="83">
        <f>H167/F167</f>
        <v>0.74427480916030531</v>
      </c>
      <c r="J167" s="82">
        <f>G167*(1-I167)*F167</f>
        <v>0.80078400000000005</v>
      </c>
      <c r="K167" s="88">
        <v>36.04</v>
      </c>
      <c r="L167" s="85">
        <v>0.6</v>
      </c>
      <c r="M167" s="86">
        <f>J167*L167*K167</f>
        <v>17.316153216</v>
      </c>
    </row>
    <row r="168" spans="1:13">
      <c r="A168" s="74" t="s">
        <v>97</v>
      </c>
      <c r="B168" s="75"/>
      <c r="C168" s="75"/>
      <c r="D168" s="75"/>
      <c r="E168" s="75"/>
      <c r="F168" s="75"/>
      <c r="G168" s="75"/>
      <c r="H168" s="75"/>
      <c r="I168" s="75"/>
      <c r="J168" s="75"/>
      <c r="K168" s="84"/>
      <c r="L168" s="85"/>
      <c r="M168" s="76"/>
    </row>
    <row r="169" spans="1:13">
      <c r="A169" s="74">
        <v>1</v>
      </c>
      <c r="B169" s="75" t="s">
        <v>16</v>
      </c>
      <c r="C169" s="75">
        <v>2</v>
      </c>
      <c r="D169" s="82">
        <v>1.83</v>
      </c>
      <c r="E169" s="82">
        <v>2.61</v>
      </c>
      <c r="F169" s="82">
        <f>D169*E169</f>
        <v>4.7763</v>
      </c>
      <c r="G169" s="75">
        <f>$D$113</f>
        <v>0.747</v>
      </c>
      <c r="H169" s="82">
        <v>1.4</v>
      </c>
      <c r="I169" s="83">
        <f>H169/F169</f>
        <v>0.29311391663002739</v>
      </c>
      <c r="J169" s="82">
        <f>G169*(1-I169)*F169</f>
        <v>2.5220961000000002</v>
      </c>
      <c r="K169" s="88">
        <v>44.64</v>
      </c>
      <c r="L169" s="85">
        <v>0.9</v>
      </c>
      <c r="M169" s="86">
        <f>J169*L169*K169</f>
        <v>101.32773291360002</v>
      </c>
    </row>
    <row r="170" spans="1:13">
      <c r="A170" s="74">
        <v>2</v>
      </c>
      <c r="B170" s="75" t="s">
        <v>17</v>
      </c>
      <c r="C170" s="75">
        <v>2</v>
      </c>
      <c r="D170" s="82">
        <v>3.25</v>
      </c>
      <c r="E170" s="82">
        <v>2.61</v>
      </c>
      <c r="F170" s="82">
        <f>D170*E170</f>
        <v>8.4824999999999999</v>
      </c>
      <c r="G170" s="75">
        <f>$D$113</f>
        <v>0.747</v>
      </c>
      <c r="H170" s="82">
        <v>1.55</v>
      </c>
      <c r="I170" s="83">
        <f>H170/F170</f>
        <v>0.18272914824638964</v>
      </c>
      <c r="J170" s="82">
        <f>G170*(1-I170)*F170</f>
        <v>5.1785774999999994</v>
      </c>
      <c r="K170" s="88">
        <v>44.64</v>
      </c>
      <c r="L170" s="85">
        <v>0.6</v>
      </c>
      <c r="M170" s="86">
        <f>J170*L170*K170</f>
        <v>138.70301975999996</v>
      </c>
    </row>
    <row r="171" spans="1:13">
      <c r="A171" s="74">
        <v>3</v>
      </c>
      <c r="B171" s="75" t="s">
        <v>18</v>
      </c>
      <c r="C171" s="75">
        <v>2</v>
      </c>
      <c r="D171" s="82">
        <v>0.93</v>
      </c>
      <c r="E171" s="82">
        <v>2.61</v>
      </c>
      <c r="F171" s="82">
        <f>D171*E171</f>
        <v>2.4272999999999998</v>
      </c>
      <c r="G171" s="75">
        <f>$D$113</f>
        <v>0.747</v>
      </c>
      <c r="H171" s="82">
        <v>0.86</v>
      </c>
      <c r="I171" s="83">
        <f>H171/F171</f>
        <v>0.35430313517076589</v>
      </c>
      <c r="J171" s="82">
        <f>G171*(1-I171)*F171</f>
        <v>1.1707730999999997</v>
      </c>
      <c r="K171" s="88">
        <v>44.64</v>
      </c>
      <c r="L171" s="85">
        <v>0.9</v>
      </c>
      <c r="M171" s="86">
        <f>J171*L171*K171</f>
        <v>47.036980065599984</v>
      </c>
    </row>
    <row r="172" spans="1:13">
      <c r="A172" s="74">
        <v>4</v>
      </c>
      <c r="B172" s="75" t="s">
        <v>106</v>
      </c>
      <c r="C172" s="75">
        <v>1</v>
      </c>
      <c r="D172" s="82">
        <v>1.6</v>
      </c>
      <c r="E172" s="82">
        <v>2.62</v>
      </c>
      <c r="F172" s="82">
        <f>D172*E172</f>
        <v>4.1920000000000002</v>
      </c>
      <c r="G172" s="75">
        <f>$D$113</f>
        <v>0.747</v>
      </c>
      <c r="H172" s="82">
        <v>3.12</v>
      </c>
      <c r="I172" s="83">
        <f>H172/F172</f>
        <v>0.74427480916030531</v>
      </c>
      <c r="J172" s="82">
        <f>G172*(1-I172)*F172</f>
        <v>0.80078400000000005</v>
      </c>
      <c r="K172" s="88">
        <v>44.64</v>
      </c>
      <c r="L172" s="85">
        <v>0.6</v>
      </c>
      <c r="M172" s="86">
        <f>J172*L172*K172</f>
        <v>21.448198656000002</v>
      </c>
    </row>
    <row r="173" spans="1:13">
      <c r="A173" s="180" t="s">
        <v>9</v>
      </c>
      <c r="B173" s="181"/>
      <c r="C173" s="181"/>
      <c r="D173" s="181"/>
      <c r="E173" s="181"/>
      <c r="F173" s="181"/>
      <c r="G173" s="181"/>
      <c r="H173" s="181"/>
      <c r="I173" s="181"/>
      <c r="J173" s="181"/>
      <c r="K173" s="181"/>
      <c r="L173" s="181"/>
      <c r="M173" s="182"/>
    </row>
    <row r="174" spans="1:13">
      <c r="A174" s="72" t="s">
        <v>91</v>
      </c>
      <c r="B174" s="73"/>
      <c r="C174" s="73"/>
      <c r="D174" s="73"/>
      <c r="E174" s="73"/>
      <c r="F174" s="73"/>
      <c r="G174" s="75"/>
      <c r="H174" s="73"/>
      <c r="I174" s="73"/>
      <c r="J174" s="73"/>
      <c r="K174" s="87"/>
      <c r="L174" s="80"/>
      <c r="M174" s="81"/>
    </row>
    <row r="175" spans="1:13">
      <c r="A175" s="72">
        <v>1</v>
      </c>
      <c r="B175" s="73" t="s">
        <v>15</v>
      </c>
      <c r="C175" s="73">
        <v>1</v>
      </c>
      <c r="D175" s="73">
        <v>0.57999999999999996</v>
      </c>
      <c r="E175" s="73">
        <v>2.61</v>
      </c>
      <c r="F175" s="82">
        <f>D175*E175</f>
        <v>1.5137999999999998</v>
      </c>
      <c r="G175" s="75">
        <f>$D$113</f>
        <v>0.747</v>
      </c>
      <c r="H175" s="73">
        <v>0.75</v>
      </c>
      <c r="I175" s="83">
        <f>H175/F175</f>
        <v>0.49544193420531119</v>
      </c>
      <c r="J175" s="82">
        <f>G175*(1-I175)*F175</f>
        <v>0.57055859999999992</v>
      </c>
      <c r="K175" s="88">
        <v>67.209999999999994</v>
      </c>
      <c r="L175" s="85">
        <v>0.9</v>
      </c>
      <c r="M175" s="86">
        <f>J175*L175*K175</f>
        <v>34.512519155399993</v>
      </c>
    </row>
    <row r="176" spans="1:13">
      <c r="A176" s="72">
        <v>2</v>
      </c>
      <c r="B176" s="75" t="s">
        <v>16</v>
      </c>
      <c r="C176" s="73">
        <v>2</v>
      </c>
      <c r="D176" s="82">
        <v>1.83</v>
      </c>
      <c r="E176" s="82">
        <v>2.61</v>
      </c>
      <c r="F176" s="82">
        <f>D176*E176</f>
        <v>4.7763</v>
      </c>
      <c r="G176" s="75">
        <f>$D$113</f>
        <v>0.747</v>
      </c>
      <c r="H176" s="73">
        <v>1.4</v>
      </c>
      <c r="I176" s="83">
        <f>H176/F176</f>
        <v>0.29311391663002739</v>
      </c>
      <c r="J176" s="82">
        <f>G176*(1-I176)*F176</f>
        <v>2.5220961000000002</v>
      </c>
      <c r="K176" s="88">
        <v>67.209999999999994</v>
      </c>
      <c r="L176" s="85">
        <v>0.6</v>
      </c>
      <c r="M176" s="86">
        <f>J176*L176*K176</f>
        <v>101.70604732859999</v>
      </c>
    </row>
    <row r="177" spans="1:13">
      <c r="A177" s="74">
        <v>3</v>
      </c>
      <c r="B177" s="75" t="s">
        <v>16</v>
      </c>
      <c r="C177" s="75">
        <v>2</v>
      </c>
      <c r="D177" s="82">
        <v>1.83</v>
      </c>
      <c r="E177" s="82">
        <v>2.61</v>
      </c>
      <c r="F177" s="82">
        <f>D177*E177</f>
        <v>4.7763</v>
      </c>
      <c r="G177" s="75">
        <f>$D$113</f>
        <v>0.747</v>
      </c>
      <c r="H177" s="73">
        <v>1.4</v>
      </c>
      <c r="I177" s="83">
        <f>H177/F177</f>
        <v>0.29311391663002739</v>
      </c>
      <c r="J177" s="82">
        <f>G177*(1-I177)*F177</f>
        <v>2.5220961000000002</v>
      </c>
      <c r="K177" s="88">
        <v>67.209999999999994</v>
      </c>
      <c r="L177" s="85">
        <v>0.9</v>
      </c>
      <c r="M177" s="86">
        <f>J177*L177*K177</f>
        <v>152.55907099289999</v>
      </c>
    </row>
    <row r="178" spans="1:13">
      <c r="A178" s="74" t="s">
        <v>92</v>
      </c>
      <c r="B178" s="75"/>
      <c r="C178" s="75"/>
      <c r="D178" s="75"/>
      <c r="E178" s="75"/>
      <c r="F178" s="75"/>
      <c r="G178" s="75"/>
      <c r="H178" s="75"/>
      <c r="I178" s="75"/>
      <c r="J178" s="75"/>
      <c r="K178" s="84"/>
      <c r="L178" s="85"/>
      <c r="M178" s="76"/>
    </row>
    <row r="179" spans="1:13">
      <c r="A179" s="72">
        <v>1</v>
      </c>
      <c r="B179" s="73" t="s">
        <v>15</v>
      </c>
      <c r="C179" s="73">
        <v>1</v>
      </c>
      <c r="D179" s="73">
        <v>0.57999999999999996</v>
      </c>
      <c r="E179" s="73">
        <v>2.61</v>
      </c>
      <c r="F179" s="82">
        <f>D179*E179</f>
        <v>1.5137999999999998</v>
      </c>
      <c r="G179" s="75">
        <f>$D$113</f>
        <v>0.747</v>
      </c>
      <c r="H179" s="73">
        <v>0.75</v>
      </c>
      <c r="I179" s="83">
        <f>H179/F179</f>
        <v>0.49544193420531119</v>
      </c>
      <c r="J179" s="82">
        <f>G179*(1-I179)*F179</f>
        <v>0.57055859999999992</v>
      </c>
      <c r="K179" s="88">
        <v>34.67</v>
      </c>
      <c r="L179" s="85">
        <v>0.9</v>
      </c>
      <c r="M179" s="86">
        <f>J179*L179*K179</f>
        <v>17.803139995799999</v>
      </c>
    </row>
    <row r="180" spans="1:13">
      <c r="A180" s="72">
        <v>2</v>
      </c>
      <c r="B180" s="75" t="s">
        <v>16</v>
      </c>
      <c r="C180" s="73">
        <v>2</v>
      </c>
      <c r="D180" s="82">
        <v>1.83</v>
      </c>
      <c r="E180" s="82">
        <v>2.61</v>
      </c>
      <c r="F180" s="82">
        <f>D180*E180</f>
        <v>4.7763</v>
      </c>
      <c r="G180" s="75">
        <f>$D$113</f>
        <v>0.747</v>
      </c>
      <c r="H180" s="73">
        <v>1.4</v>
      </c>
      <c r="I180" s="83">
        <f>H180/F180</f>
        <v>0.29311391663002739</v>
      </c>
      <c r="J180" s="82">
        <f>G180*(1-I180)*F180</f>
        <v>2.5220961000000002</v>
      </c>
      <c r="K180" s="88">
        <v>34.67</v>
      </c>
      <c r="L180" s="85">
        <v>0.6</v>
      </c>
      <c r="M180" s="86">
        <f>J180*L180*K180</f>
        <v>52.464643072200005</v>
      </c>
    </row>
    <row r="181" spans="1:13">
      <c r="A181" s="74">
        <v>3</v>
      </c>
      <c r="B181" s="75" t="s">
        <v>16</v>
      </c>
      <c r="C181" s="75">
        <v>2</v>
      </c>
      <c r="D181" s="82">
        <v>1.83</v>
      </c>
      <c r="E181" s="82">
        <v>2.61</v>
      </c>
      <c r="F181" s="82">
        <f>D181*E181</f>
        <v>4.7763</v>
      </c>
      <c r="G181" s="75">
        <f>$D$113</f>
        <v>0.747</v>
      </c>
      <c r="H181" s="73">
        <v>1.4</v>
      </c>
      <c r="I181" s="83">
        <f>H181/F181</f>
        <v>0.29311391663002739</v>
      </c>
      <c r="J181" s="82">
        <f>G181*(1-I181)*F181</f>
        <v>2.5220961000000002</v>
      </c>
      <c r="K181" s="88">
        <v>34.67</v>
      </c>
      <c r="L181" s="85">
        <v>0.9</v>
      </c>
      <c r="M181" s="86">
        <f>J181*L181*K181</f>
        <v>78.696964608300007</v>
      </c>
    </row>
    <row r="182" spans="1:13">
      <c r="A182" s="74" t="s">
        <v>93</v>
      </c>
      <c r="B182" s="75"/>
      <c r="C182" s="75"/>
      <c r="D182" s="75"/>
      <c r="E182" s="75"/>
      <c r="F182" s="75"/>
      <c r="G182" s="75"/>
      <c r="H182" s="75"/>
      <c r="I182" s="75"/>
      <c r="J182" s="75"/>
      <c r="K182" s="84"/>
      <c r="L182" s="85"/>
      <c r="M182" s="76"/>
    </row>
    <row r="183" spans="1:13">
      <c r="A183" s="72">
        <v>1</v>
      </c>
      <c r="B183" s="73" t="s">
        <v>15</v>
      </c>
      <c r="C183" s="73">
        <v>1</v>
      </c>
      <c r="D183" s="73">
        <v>0.57999999999999996</v>
      </c>
      <c r="E183" s="73">
        <v>2.61</v>
      </c>
      <c r="F183" s="82">
        <f>D183*E183</f>
        <v>1.5137999999999998</v>
      </c>
      <c r="G183" s="75">
        <f>$D$113</f>
        <v>0.747</v>
      </c>
      <c r="H183" s="73">
        <v>0.75</v>
      </c>
      <c r="I183" s="83">
        <f>H183/F183</f>
        <v>0.49544193420531119</v>
      </c>
      <c r="J183" s="82">
        <f>G183*(1-I183)*F183</f>
        <v>0.57055859999999992</v>
      </c>
      <c r="K183" s="88">
        <v>25.53</v>
      </c>
      <c r="L183" s="85">
        <v>0.9</v>
      </c>
      <c r="M183" s="86">
        <f>J183*L183*K183</f>
        <v>13.109724952199999</v>
      </c>
    </row>
    <row r="184" spans="1:13">
      <c r="A184" s="72">
        <v>2</v>
      </c>
      <c r="B184" s="75" t="s">
        <v>16</v>
      </c>
      <c r="C184" s="73">
        <v>2</v>
      </c>
      <c r="D184" s="82">
        <v>1.83</v>
      </c>
      <c r="E184" s="82">
        <v>2.61</v>
      </c>
      <c r="F184" s="82">
        <f>D184*E184</f>
        <v>4.7763</v>
      </c>
      <c r="G184" s="75">
        <f>$D$113</f>
        <v>0.747</v>
      </c>
      <c r="H184" s="73">
        <v>1.4</v>
      </c>
      <c r="I184" s="83">
        <f>H184/F184</f>
        <v>0.29311391663002739</v>
      </c>
      <c r="J184" s="82">
        <f>G184*(1-I184)*F184</f>
        <v>2.5220961000000002</v>
      </c>
      <c r="K184" s="88">
        <v>25.53</v>
      </c>
      <c r="L184" s="89">
        <v>0.6</v>
      </c>
      <c r="M184" s="90">
        <f>J184*L184*K184</f>
        <v>38.633468059800002</v>
      </c>
    </row>
    <row r="185" spans="1:13">
      <c r="A185" s="74">
        <v>3</v>
      </c>
      <c r="B185" s="75" t="s">
        <v>16</v>
      </c>
      <c r="C185" s="75">
        <v>2</v>
      </c>
      <c r="D185" s="82">
        <v>1.83</v>
      </c>
      <c r="E185" s="82">
        <v>2.61</v>
      </c>
      <c r="F185" s="82">
        <f>D185*E185</f>
        <v>4.7763</v>
      </c>
      <c r="G185" s="75">
        <f>$D$113</f>
        <v>0.747</v>
      </c>
      <c r="H185" s="73">
        <v>1.4</v>
      </c>
      <c r="I185" s="83">
        <f>H185/F185</f>
        <v>0.29311391663002739</v>
      </c>
      <c r="J185" s="82">
        <f>G185*(1-I185)*F185</f>
        <v>2.5220961000000002</v>
      </c>
      <c r="K185" s="88">
        <v>25.53</v>
      </c>
      <c r="L185" s="85">
        <v>0.9</v>
      </c>
      <c r="M185" s="86">
        <f>J185*L185*K185</f>
        <v>57.950202089700007</v>
      </c>
    </row>
    <row r="186" spans="1:13">
      <c r="A186" s="74" t="s">
        <v>94</v>
      </c>
      <c r="B186" s="75"/>
      <c r="C186" s="75"/>
      <c r="D186" s="75"/>
      <c r="E186" s="75"/>
      <c r="F186" s="75"/>
      <c r="G186" s="75"/>
      <c r="H186" s="75"/>
      <c r="I186" s="75"/>
      <c r="J186" s="75"/>
      <c r="K186" s="84"/>
      <c r="L186" s="85"/>
      <c r="M186" s="76"/>
    </row>
    <row r="187" spans="1:13">
      <c r="A187" s="72">
        <v>1</v>
      </c>
      <c r="B187" s="73" t="s">
        <v>15</v>
      </c>
      <c r="C187" s="73">
        <v>1</v>
      </c>
      <c r="D187" s="73">
        <v>0.57999999999999996</v>
      </c>
      <c r="E187" s="73">
        <v>2.61</v>
      </c>
      <c r="F187" s="82">
        <f>D187*E187</f>
        <v>1.5137999999999998</v>
      </c>
      <c r="G187" s="75">
        <f>$D$113</f>
        <v>0.747</v>
      </c>
      <c r="H187" s="73">
        <v>0.75</v>
      </c>
      <c r="I187" s="83">
        <f>H187/F187</f>
        <v>0.49544193420531119</v>
      </c>
      <c r="J187" s="82">
        <f>G187*(1-I187)*F187</f>
        <v>0.57055859999999992</v>
      </c>
      <c r="K187" s="88">
        <v>32.57</v>
      </c>
      <c r="L187" s="85">
        <v>0.9</v>
      </c>
      <c r="M187" s="86">
        <f>J187*L187*K187</f>
        <v>16.724784241799998</v>
      </c>
    </row>
    <row r="188" spans="1:13">
      <c r="A188" s="72">
        <v>2</v>
      </c>
      <c r="B188" s="75" t="s">
        <v>16</v>
      </c>
      <c r="C188" s="73">
        <v>2</v>
      </c>
      <c r="D188" s="82">
        <v>1.83</v>
      </c>
      <c r="E188" s="82">
        <v>2.61</v>
      </c>
      <c r="F188" s="82">
        <f>D188*E188</f>
        <v>4.7763</v>
      </c>
      <c r="G188" s="75">
        <f>$D$113</f>
        <v>0.747</v>
      </c>
      <c r="H188" s="73">
        <v>1.4</v>
      </c>
      <c r="I188" s="83">
        <f>H188/F188</f>
        <v>0.29311391663002739</v>
      </c>
      <c r="J188" s="82">
        <f>G188*(1-I188)*F188</f>
        <v>2.5220961000000002</v>
      </c>
      <c r="K188" s="88">
        <v>32.57</v>
      </c>
      <c r="L188" s="85">
        <v>0.6</v>
      </c>
      <c r="M188" s="86">
        <f>J188*L188*K188</f>
        <v>49.286801986200004</v>
      </c>
    </row>
    <row r="189" spans="1:13">
      <c r="A189" s="74">
        <v>3</v>
      </c>
      <c r="B189" s="75" t="s">
        <v>16</v>
      </c>
      <c r="C189" s="75">
        <v>2</v>
      </c>
      <c r="D189" s="82">
        <v>1.83</v>
      </c>
      <c r="E189" s="82">
        <v>2.61</v>
      </c>
      <c r="F189" s="82">
        <f>D189*E189</f>
        <v>4.7763</v>
      </c>
      <c r="G189" s="75">
        <f>$D$113</f>
        <v>0.747</v>
      </c>
      <c r="H189" s="73">
        <v>1.4</v>
      </c>
      <c r="I189" s="83">
        <f>H189/F189</f>
        <v>0.29311391663002739</v>
      </c>
      <c r="J189" s="82">
        <f>G189*(1-I189)*F189</f>
        <v>2.5220961000000002</v>
      </c>
      <c r="K189" s="88">
        <v>32.57</v>
      </c>
      <c r="L189" s="85">
        <v>0.9</v>
      </c>
      <c r="M189" s="86">
        <f>J189*L189*K189</f>
        <v>73.930202979300006</v>
      </c>
    </row>
    <row r="190" spans="1:13">
      <c r="A190" s="74" t="s">
        <v>95</v>
      </c>
      <c r="B190" s="75"/>
      <c r="C190" s="75"/>
      <c r="D190" s="75"/>
      <c r="E190" s="75"/>
      <c r="F190" s="75"/>
      <c r="G190" s="75"/>
      <c r="H190" s="75"/>
      <c r="I190" s="75"/>
      <c r="J190" s="75"/>
      <c r="K190" s="84"/>
      <c r="L190" s="85"/>
      <c r="M190" s="76"/>
    </row>
    <row r="191" spans="1:13">
      <c r="A191" s="72">
        <v>1</v>
      </c>
      <c r="B191" s="73" t="s">
        <v>15</v>
      </c>
      <c r="C191" s="73">
        <v>1</v>
      </c>
      <c r="D191" s="73">
        <v>0.57999999999999996</v>
      </c>
      <c r="E191" s="73">
        <v>2.61</v>
      </c>
      <c r="F191" s="82">
        <f>D191*E191</f>
        <v>1.5137999999999998</v>
      </c>
      <c r="G191" s="75">
        <f>$D$113</f>
        <v>0.747</v>
      </c>
      <c r="H191" s="73">
        <v>0.75</v>
      </c>
      <c r="I191" s="83">
        <f>H191/F191</f>
        <v>0.49544193420531119</v>
      </c>
      <c r="J191" s="82">
        <f>G191*(1-I191)*F191</f>
        <v>0.57055859999999992</v>
      </c>
      <c r="K191" s="88">
        <v>55.35</v>
      </c>
      <c r="L191" s="85">
        <v>0.9</v>
      </c>
      <c r="M191" s="86">
        <f>J191*L191*K191</f>
        <v>28.422376658999998</v>
      </c>
    </row>
    <row r="192" spans="1:13">
      <c r="A192" s="72">
        <v>2</v>
      </c>
      <c r="B192" s="75" t="s">
        <v>16</v>
      </c>
      <c r="C192" s="73">
        <v>2</v>
      </c>
      <c r="D192" s="82">
        <v>1.83</v>
      </c>
      <c r="E192" s="82">
        <v>2.61</v>
      </c>
      <c r="F192" s="82">
        <f>D192*E192</f>
        <v>4.7763</v>
      </c>
      <c r="G192" s="75">
        <f>$D$113</f>
        <v>0.747</v>
      </c>
      <c r="H192" s="73">
        <v>1.4</v>
      </c>
      <c r="I192" s="83">
        <f>H192/F192</f>
        <v>0.29311391663002739</v>
      </c>
      <c r="J192" s="82">
        <f>G192*(1-I192)*F192</f>
        <v>2.5220961000000002</v>
      </c>
      <c r="K192" s="88">
        <v>55.35</v>
      </c>
      <c r="L192" s="85">
        <v>0.6</v>
      </c>
      <c r="M192" s="86">
        <f>J192*L192*K192</f>
        <v>83.758811481000009</v>
      </c>
    </row>
    <row r="193" spans="1:13">
      <c r="A193" s="74">
        <v>3</v>
      </c>
      <c r="B193" s="75" t="s">
        <v>16</v>
      </c>
      <c r="C193" s="75">
        <v>2</v>
      </c>
      <c r="D193" s="82">
        <v>1.83</v>
      </c>
      <c r="E193" s="82">
        <v>2.61</v>
      </c>
      <c r="F193" s="82">
        <f>D193*E193</f>
        <v>4.7763</v>
      </c>
      <c r="G193" s="75">
        <f>$D$113</f>
        <v>0.747</v>
      </c>
      <c r="H193" s="73">
        <v>1.4</v>
      </c>
      <c r="I193" s="83">
        <f>H193/F193</f>
        <v>0.29311391663002739</v>
      </c>
      <c r="J193" s="82">
        <f>G193*(1-I193)*F193</f>
        <v>2.5220961000000002</v>
      </c>
      <c r="K193" s="88">
        <v>55.35</v>
      </c>
      <c r="L193" s="85">
        <v>0.9</v>
      </c>
      <c r="M193" s="86">
        <f>J193*L193*K193</f>
        <v>125.63821722150001</v>
      </c>
    </row>
    <row r="194" spans="1:13">
      <c r="A194" s="74" t="s">
        <v>96</v>
      </c>
      <c r="B194" s="75"/>
      <c r="C194" s="75"/>
      <c r="D194" s="75"/>
      <c r="E194" s="75"/>
      <c r="F194" s="75"/>
      <c r="G194" s="75"/>
      <c r="H194" s="75"/>
      <c r="I194" s="75"/>
      <c r="J194" s="75"/>
      <c r="K194" s="84"/>
      <c r="L194" s="85"/>
      <c r="M194" s="76"/>
    </row>
    <row r="195" spans="1:13">
      <c r="A195" s="72">
        <v>1</v>
      </c>
      <c r="B195" s="73" t="s">
        <v>15</v>
      </c>
      <c r="C195" s="73">
        <v>1</v>
      </c>
      <c r="D195" s="73">
        <v>0.57999999999999996</v>
      </c>
      <c r="E195" s="73">
        <v>2.61</v>
      </c>
      <c r="F195" s="82">
        <f>D195*E195</f>
        <v>1.5137999999999998</v>
      </c>
      <c r="G195" s="75">
        <f>$D$113</f>
        <v>0.747</v>
      </c>
      <c r="H195" s="73">
        <v>0.75</v>
      </c>
      <c r="I195" s="83">
        <f>H195/F195</f>
        <v>0.49544193420531119</v>
      </c>
      <c r="J195" s="82">
        <f>G195*(1-I195)*F195</f>
        <v>0.57055859999999992</v>
      </c>
      <c r="K195" s="88">
        <v>79.8</v>
      </c>
      <c r="L195" s="85">
        <v>0.9</v>
      </c>
      <c r="M195" s="86">
        <f>J195*L195*K195</f>
        <v>40.977518651999993</v>
      </c>
    </row>
    <row r="196" spans="1:13">
      <c r="A196" s="72">
        <v>2</v>
      </c>
      <c r="B196" s="75" t="s">
        <v>16</v>
      </c>
      <c r="C196" s="73">
        <v>2</v>
      </c>
      <c r="D196" s="82">
        <v>1.83</v>
      </c>
      <c r="E196" s="82">
        <v>2.61</v>
      </c>
      <c r="F196" s="82">
        <f>D196*E196</f>
        <v>4.7763</v>
      </c>
      <c r="G196" s="75">
        <f>$D$113</f>
        <v>0.747</v>
      </c>
      <c r="H196" s="73">
        <v>1.4</v>
      </c>
      <c r="I196" s="83">
        <f>H196/F196</f>
        <v>0.29311391663002739</v>
      </c>
      <c r="J196" s="82">
        <f>G196*(1-I196)*F196</f>
        <v>2.5220961000000002</v>
      </c>
      <c r="K196" s="88">
        <v>79.8</v>
      </c>
      <c r="L196" s="85">
        <v>0.6</v>
      </c>
      <c r="M196" s="86">
        <f>J196*L196*K196</f>
        <v>120.757961268</v>
      </c>
    </row>
    <row r="197" spans="1:13">
      <c r="A197" s="74">
        <v>3</v>
      </c>
      <c r="B197" s="75" t="s">
        <v>16</v>
      </c>
      <c r="C197" s="75">
        <v>2</v>
      </c>
      <c r="D197" s="82">
        <v>1.83</v>
      </c>
      <c r="E197" s="82">
        <v>2.61</v>
      </c>
      <c r="F197" s="82">
        <f>D197*E197</f>
        <v>4.7763</v>
      </c>
      <c r="G197" s="75">
        <f>$D$113</f>
        <v>0.747</v>
      </c>
      <c r="H197" s="73">
        <v>1.4</v>
      </c>
      <c r="I197" s="83">
        <f>H197/F197</f>
        <v>0.29311391663002739</v>
      </c>
      <c r="J197" s="82">
        <f>G197*(1-I197)*F197</f>
        <v>2.5220961000000002</v>
      </c>
      <c r="K197" s="88">
        <v>79.8</v>
      </c>
      <c r="L197" s="85">
        <v>0.9</v>
      </c>
      <c r="M197" s="86">
        <f>J197*L197*K197</f>
        <v>181.13694190200002</v>
      </c>
    </row>
    <row r="198" spans="1:13">
      <c r="A198" s="74" t="s">
        <v>97</v>
      </c>
      <c r="B198" s="75"/>
      <c r="C198" s="75"/>
      <c r="D198" s="75"/>
      <c r="E198" s="75"/>
      <c r="F198" s="75"/>
      <c r="G198" s="75"/>
      <c r="H198" s="75"/>
      <c r="I198" s="75"/>
      <c r="J198" s="75"/>
      <c r="K198" s="84"/>
      <c r="L198" s="85"/>
      <c r="M198" s="76"/>
    </row>
    <row r="199" spans="1:13">
      <c r="A199" s="72">
        <v>1</v>
      </c>
      <c r="B199" s="73" t="s">
        <v>15</v>
      </c>
      <c r="C199" s="73">
        <v>1</v>
      </c>
      <c r="D199" s="73">
        <v>0.57999999999999996</v>
      </c>
      <c r="E199" s="73">
        <v>2.61</v>
      </c>
      <c r="F199" s="82">
        <f>D199*E199</f>
        <v>1.5137999999999998</v>
      </c>
      <c r="G199" s="75">
        <f>$D$113</f>
        <v>0.747</v>
      </c>
      <c r="H199" s="73">
        <v>0.75</v>
      </c>
      <c r="I199" s="83">
        <f>H199/F199</f>
        <v>0.49544193420531119</v>
      </c>
      <c r="J199" s="82">
        <f>G199*(1-I199)*F199</f>
        <v>0.57055859999999992</v>
      </c>
      <c r="K199" s="88">
        <v>96.05</v>
      </c>
      <c r="L199" s="85">
        <v>0.9</v>
      </c>
      <c r="M199" s="86">
        <f>J199*L199*K199</f>
        <v>49.321938176999993</v>
      </c>
    </row>
    <row r="200" spans="1:13">
      <c r="A200" s="72">
        <v>2</v>
      </c>
      <c r="B200" s="75" t="s">
        <v>16</v>
      </c>
      <c r="C200" s="73">
        <v>2</v>
      </c>
      <c r="D200" s="82">
        <v>1.83</v>
      </c>
      <c r="E200" s="82">
        <v>2.61</v>
      </c>
      <c r="F200" s="82">
        <f>D200*E200</f>
        <v>4.7763</v>
      </c>
      <c r="G200" s="75">
        <f>$D$113</f>
        <v>0.747</v>
      </c>
      <c r="H200" s="73">
        <v>1.4</v>
      </c>
      <c r="I200" s="83">
        <f>H200/F200</f>
        <v>0.29311391663002739</v>
      </c>
      <c r="J200" s="82">
        <f>G200*(1-I200)*F200</f>
        <v>2.5220961000000002</v>
      </c>
      <c r="K200" s="88">
        <v>96.05</v>
      </c>
      <c r="L200" s="85">
        <v>0.6</v>
      </c>
      <c r="M200" s="86">
        <f>J200*L200*K200</f>
        <v>145.34839824299999</v>
      </c>
    </row>
    <row r="201" spans="1:13">
      <c r="A201" s="74">
        <v>3</v>
      </c>
      <c r="B201" s="75" t="s">
        <v>16</v>
      </c>
      <c r="C201" s="75">
        <v>2</v>
      </c>
      <c r="D201" s="82">
        <v>1.83</v>
      </c>
      <c r="E201" s="82">
        <v>2.61</v>
      </c>
      <c r="F201" s="82">
        <f>D201*E201</f>
        <v>4.7763</v>
      </c>
      <c r="G201" s="75">
        <f>$D$113</f>
        <v>0.747</v>
      </c>
      <c r="H201" s="73">
        <v>1.4</v>
      </c>
      <c r="I201" s="83">
        <f>H201/F201</f>
        <v>0.29311391663002739</v>
      </c>
      <c r="J201" s="82">
        <f>G201*(1-I201)*F201</f>
        <v>2.5220961000000002</v>
      </c>
      <c r="K201" s="88">
        <v>96.05</v>
      </c>
      <c r="L201" s="85">
        <v>0.9</v>
      </c>
      <c r="M201" s="86">
        <f>J201*L201*K201</f>
        <v>218.0225973645</v>
      </c>
    </row>
    <row r="202" spans="1:13">
      <c r="A202" s="180" t="s">
        <v>11</v>
      </c>
      <c r="B202" s="181"/>
      <c r="C202" s="181"/>
      <c r="D202" s="181"/>
      <c r="E202" s="181"/>
      <c r="F202" s="181"/>
      <c r="G202" s="181"/>
      <c r="H202" s="181"/>
      <c r="I202" s="181"/>
      <c r="J202" s="181"/>
      <c r="K202" s="181"/>
      <c r="L202" s="181"/>
      <c r="M202" s="182"/>
    </row>
    <row r="203" spans="1:13">
      <c r="A203" s="72" t="s">
        <v>91</v>
      </c>
      <c r="B203" s="73"/>
      <c r="C203" s="73"/>
      <c r="D203" s="73"/>
      <c r="E203" s="73"/>
      <c r="F203" s="73"/>
      <c r="G203" s="75"/>
      <c r="H203" s="73"/>
      <c r="I203" s="73"/>
      <c r="J203" s="73"/>
      <c r="K203" s="87"/>
      <c r="L203" s="80"/>
      <c r="M203" s="81"/>
    </row>
    <row r="204" spans="1:13">
      <c r="A204" s="72">
        <v>1</v>
      </c>
      <c r="B204" s="73" t="s">
        <v>20</v>
      </c>
      <c r="C204" s="73">
        <v>2</v>
      </c>
      <c r="D204" s="73">
        <v>1.23</v>
      </c>
      <c r="E204" s="73">
        <v>0.56000000000000005</v>
      </c>
      <c r="F204" s="82">
        <f>D204*E204</f>
        <v>0.68880000000000008</v>
      </c>
      <c r="G204" s="75">
        <f>$D$113</f>
        <v>0.747</v>
      </c>
      <c r="H204" s="73">
        <v>0.43</v>
      </c>
      <c r="I204" s="73">
        <f>H204/F204</f>
        <v>0.62427409988385585</v>
      </c>
      <c r="J204" s="82">
        <f>G204*(1-I204)*F204</f>
        <v>0.1933236000000001</v>
      </c>
      <c r="K204" s="88">
        <v>67.209999999999994</v>
      </c>
      <c r="L204" s="85">
        <v>0.9</v>
      </c>
      <c r="M204" s="86">
        <f>J204*L204*K204</f>
        <v>11.693951240400006</v>
      </c>
    </row>
    <row r="205" spans="1:13">
      <c r="A205" s="74">
        <v>2</v>
      </c>
      <c r="B205" s="75" t="s">
        <v>21</v>
      </c>
      <c r="C205" s="75">
        <v>2</v>
      </c>
      <c r="D205" s="82">
        <v>2.73</v>
      </c>
      <c r="E205" s="82">
        <v>1.56</v>
      </c>
      <c r="F205" s="82">
        <f>D205*E205</f>
        <v>4.2587999999999999</v>
      </c>
      <c r="G205" s="75">
        <f>$D$113</f>
        <v>0.747</v>
      </c>
      <c r="H205" s="82">
        <v>1.47</v>
      </c>
      <c r="I205" s="83">
        <f>H205/F205</f>
        <v>0.34516765285996054</v>
      </c>
      <c r="J205" s="82">
        <f>G205*(1-I205)*F205</f>
        <v>2.0832336000000002</v>
      </c>
      <c r="K205" s="88">
        <v>67.209999999999994</v>
      </c>
      <c r="L205" s="85">
        <v>0.9</v>
      </c>
      <c r="M205" s="86">
        <f>J205*L205*K205</f>
        <v>126.0127172304</v>
      </c>
    </row>
    <row r="206" spans="1:13">
      <c r="A206" s="74" t="s">
        <v>92</v>
      </c>
      <c r="B206" s="75"/>
      <c r="C206" s="75"/>
      <c r="D206" s="75"/>
      <c r="E206" s="75"/>
      <c r="F206" s="75"/>
      <c r="G206" s="75"/>
      <c r="H206" s="75"/>
      <c r="I206" s="75"/>
      <c r="J206" s="75"/>
      <c r="K206" s="84"/>
      <c r="L206" s="85"/>
      <c r="M206" s="76"/>
    </row>
    <row r="207" spans="1:13">
      <c r="A207" s="72">
        <v>1</v>
      </c>
      <c r="B207" s="73" t="s">
        <v>20</v>
      </c>
      <c r="C207" s="73">
        <v>2</v>
      </c>
      <c r="D207" s="73">
        <v>1.23</v>
      </c>
      <c r="E207" s="73">
        <v>0.56000000000000005</v>
      </c>
      <c r="F207" s="82">
        <f>D207*E207</f>
        <v>0.68880000000000008</v>
      </c>
      <c r="G207" s="75">
        <f>$D$113</f>
        <v>0.747</v>
      </c>
      <c r="H207" s="73">
        <v>0.43</v>
      </c>
      <c r="I207" s="73">
        <f>H207/F207</f>
        <v>0.62427409988385585</v>
      </c>
      <c r="J207" s="82">
        <f>G207*(1-I207)*F207</f>
        <v>0.1933236000000001</v>
      </c>
      <c r="K207" s="88">
        <v>34.67</v>
      </c>
      <c r="L207" s="85">
        <v>0.9</v>
      </c>
      <c r="M207" s="86">
        <f>J207*L207*K207</f>
        <v>6.032276290800004</v>
      </c>
    </row>
    <row r="208" spans="1:13">
      <c r="A208" s="74">
        <v>2</v>
      </c>
      <c r="B208" s="75" t="s">
        <v>21</v>
      </c>
      <c r="C208" s="75">
        <v>2</v>
      </c>
      <c r="D208" s="82">
        <v>2.73</v>
      </c>
      <c r="E208" s="82">
        <v>1.56</v>
      </c>
      <c r="F208" s="82">
        <f>D208*E208</f>
        <v>4.2587999999999999</v>
      </c>
      <c r="G208" s="75">
        <f>$D$113</f>
        <v>0.747</v>
      </c>
      <c r="H208" s="82">
        <v>1.47</v>
      </c>
      <c r="I208" s="83">
        <f>H208/F208</f>
        <v>0.34516765285996054</v>
      </c>
      <c r="J208" s="82">
        <f>G208*(1-I208)*F208</f>
        <v>2.0832336000000002</v>
      </c>
      <c r="K208" s="88">
        <v>34.67</v>
      </c>
      <c r="L208" s="85">
        <v>0.9</v>
      </c>
      <c r="M208" s="86">
        <f>J208*L208*K208</f>
        <v>65.003138020800009</v>
      </c>
    </row>
    <row r="209" spans="1:13">
      <c r="A209" s="74" t="s">
        <v>93</v>
      </c>
      <c r="B209" s="75"/>
      <c r="C209" s="75"/>
      <c r="D209" s="75"/>
      <c r="E209" s="75"/>
      <c r="F209" s="75"/>
      <c r="G209" s="75"/>
      <c r="H209" s="75"/>
      <c r="I209" s="75"/>
      <c r="J209" s="75"/>
      <c r="K209" s="84"/>
      <c r="L209" s="85"/>
      <c r="M209" s="76"/>
    </row>
    <row r="210" spans="1:13">
      <c r="A210" s="72">
        <v>1</v>
      </c>
      <c r="B210" s="73" t="s">
        <v>20</v>
      </c>
      <c r="C210" s="73">
        <v>2</v>
      </c>
      <c r="D210" s="73">
        <v>1.23</v>
      </c>
      <c r="E210" s="73">
        <v>0.56000000000000005</v>
      </c>
      <c r="F210" s="82">
        <f>D210*E210</f>
        <v>0.68880000000000008</v>
      </c>
      <c r="G210" s="75">
        <f>$D$113</f>
        <v>0.747</v>
      </c>
      <c r="H210" s="73">
        <v>0.43</v>
      </c>
      <c r="I210" s="73">
        <f>H210/F210</f>
        <v>0.62427409988385585</v>
      </c>
      <c r="J210" s="82">
        <f>G210*(1-I210)*F210</f>
        <v>0.1933236000000001</v>
      </c>
      <c r="K210" s="88">
        <v>25.53</v>
      </c>
      <c r="L210" s="85">
        <v>0.9</v>
      </c>
      <c r="M210" s="86">
        <f>J210*L210*K210</f>
        <v>4.4419963572000025</v>
      </c>
    </row>
    <row r="211" spans="1:13">
      <c r="A211" s="74">
        <v>2</v>
      </c>
      <c r="B211" s="75" t="s">
        <v>21</v>
      </c>
      <c r="C211" s="75">
        <v>2</v>
      </c>
      <c r="D211" s="82">
        <v>2.73</v>
      </c>
      <c r="E211" s="82">
        <v>1.56</v>
      </c>
      <c r="F211" s="82">
        <f>D211*E211</f>
        <v>4.2587999999999999</v>
      </c>
      <c r="G211" s="75">
        <f>$D$113</f>
        <v>0.747</v>
      </c>
      <c r="H211" s="82">
        <v>1.47</v>
      </c>
      <c r="I211" s="83">
        <f>H211/F211</f>
        <v>0.34516765285996054</v>
      </c>
      <c r="J211" s="82">
        <f>G211*(1-I211)*F211</f>
        <v>2.0832336000000002</v>
      </c>
      <c r="K211" s="88">
        <v>25.53</v>
      </c>
      <c r="L211" s="85">
        <v>0.9</v>
      </c>
      <c r="M211" s="86">
        <f>J211*L211*K211</f>
        <v>47.866458427200008</v>
      </c>
    </row>
    <row r="212" spans="1:13">
      <c r="A212" s="74" t="s">
        <v>94</v>
      </c>
      <c r="B212" s="75"/>
      <c r="C212" s="75"/>
      <c r="D212" s="75"/>
      <c r="E212" s="75"/>
      <c r="F212" s="75"/>
      <c r="G212" s="75"/>
      <c r="H212" s="75"/>
      <c r="I212" s="75"/>
      <c r="J212" s="75"/>
      <c r="K212" s="84"/>
      <c r="L212" s="85"/>
      <c r="M212" s="76"/>
    </row>
    <row r="213" spans="1:13">
      <c r="A213" s="72">
        <v>1</v>
      </c>
      <c r="B213" s="73" t="s">
        <v>20</v>
      </c>
      <c r="C213" s="73">
        <v>2</v>
      </c>
      <c r="D213" s="73">
        <v>1.23</v>
      </c>
      <c r="E213" s="73">
        <v>0.56000000000000005</v>
      </c>
      <c r="F213" s="82">
        <f>D213*E213</f>
        <v>0.68880000000000008</v>
      </c>
      <c r="G213" s="75">
        <f>$D$113</f>
        <v>0.747</v>
      </c>
      <c r="H213" s="73">
        <v>0.43</v>
      </c>
      <c r="I213" s="73">
        <f>H213/F213</f>
        <v>0.62427409988385585</v>
      </c>
      <c r="J213" s="82">
        <f>G213*(1-I213)*F213</f>
        <v>0.1933236000000001</v>
      </c>
      <c r="K213" s="88">
        <v>32.57</v>
      </c>
      <c r="L213" s="85">
        <v>0.9</v>
      </c>
      <c r="M213" s="86">
        <f>J213*L213*K213</f>
        <v>5.6668946868000036</v>
      </c>
    </row>
    <row r="214" spans="1:13">
      <c r="A214" s="74">
        <v>2</v>
      </c>
      <c r="B214" s="75" t="s">
        <v>21</v>
      </c>
      <c r="C214" s="75">
        <v>2</v>
      </c>
      <c r="D214" s="82">
        <v>2.73</v>
      </c>
      <c r="E214" s="82">
        <v>1.56</v>
      </c>
      <c r="F214" s="82">
        <f>D214*E214</f>
        <v>4.2587999999999999</v>
      </c>
      <c r="G214" s="75">
        <f>$D$113</f>
        <v>0.747</v>
      </c>
      <c r="H214" s="82">
        <v>1.47</v>
      </c>
      <c r="I214" s="83">
        <f>H214/F214</f>
        <v>0.34516765285996054</v>
      </c>
      <c r="J214" s="82">
        <f>G214*(1-I214)*F214</f>
        <v>2.0832336000000002</v>
      </c>
      <c r="K214" s="88">
        <v>32.57</v>
      </c>
      <c r="L214" s="85">
        <v>0.9</v>
      </c>
      <c r="M214" s="86">
        <f>J214*L214*K214</f>
        <v>61.065826516800009</v>
      </c>
    </row>
    <row r="215" spans="1:13">
      <c r="A215" s="74" t="s">
        <v>95</v>
      </c>
      <c r="B215" s="75"/>
      <c r="C215" s="75"/>
      <c r="D215" s="75"/>
      <c r="E215" s="75"/>
      <c r="F215" s="75"/>
      <c r="G215" s="75"/>
      <c r="H215" s="75"/>
      <c r="I215" s="75"/>
      <c r="J215" s="75"/>
      <c r="K215" s="84"/>
      <c r="L215" s="85"/>
      <c r="M215" s="76"/>
    </row>
    <row r="216" spans="1:13">
      <c r="A216" s="72">
        <v>1</v>
      </c>
      <c r="B216" s="73" t="s">
        <v>20</v>
      </c>
      <c r="C216" s="73">
        <v>2</v>
      </c>
      <c r="D216" s="73">
        <v>1.23</v>
      </c>
      <c r="E216" s="73">
        <v>0.56000000000000005</v>
      </c>
      <c r="F216" s="82">
        <f>D216*E216</f>
        <v>0.68880000000000008</v>
      </c>
      <c r="G216" s="75">
        <f>$D$113</f>
        <v>0.747</v>
      </c>
      <c r="H216" s="73">
        <v>0.43</v>
      </c>
      <c r="I216" s="73">
        <f>H216/F216</f>
        <v>0.62427409988385585</v>
      </c>
      <c r="J216" s="82">
        <f>G216*(1-I216)*F216</f>
        <v>0.1933236000000001</v>
      </c>
      <c r="K216" s="88">
        <v>55.35</v>
      </c>
      <c r="L216" s="85">
        <v>0.9</v>
      </c>
      <c r="M216" s="86">
        <f>J216*L216*K216</f>
        <v>9.630415134000005</v>
      </c>
    </row>
    <row r="217" spans="1:13">
      <c r="A217" s="74">
        <v>2</v>
      </c>
      <c r="B217" s="75" t="s">
        <v>21</v>
      </c>
      <c r="C217" s="75">
        <v>2</v>
      </c>
      <c r="D217" s="82">
        <v>2.73</v>
      </c>
      <c r="E217" s="82">
        <v>1.56</v>
      </c>
      <c r="F217" s="82">
        <f>D217*E217</f>
        <v>4.2587999999999999</v>
      </c>
      <c r="G217" s="75">
        <f>$D$113</f>
        <v>0.747</v>
      </c>
      <c r="H217" s="82">
        <v>1.47</v>
      </c>
      <c r="I217" s="83">
        <f>H217/F217</f>
        <v>0.34516765285996054</v>
      </c>
      <c r="J217" s="82">
        <f>G217*(1-I217)*F217</f>
        <v>2.0832336000000002</v>
      </c>
      <c r="K217" s="88">
        <v>55.35</v>
      </c>
      <c r="L217" s="85">
        <v>0.9</v>
      </c>
      <c r="M217" s="86">
        <f>J217*L217*K217</f>
        <v>103.77628178400001</v>
      </c>
    </row>
    <row r="218" spans="1:13">
      <c r="A218" s="74" t="s">
        <v>96</v>
      </c>
      <c r="B218" s="75"/>
      <c r="C218" s="75"/>
      <c r="D218" s="75"/>
      <c r="E218" s="75"/>
      <c r="F218" s="75"/>
      <c r="G218" s="75"/>
      <c r="H218" s="75"/>
      <c r="I218" s="75"/>
      <c r="J218" s="75"/>
      <c r="K218" s="84"/>
      <c r="L218" s="85"/>
      <c r="M218" s="76"/>
    </row>
    <row r="219" spans="1:13">
      <c r="A219" s="72">
        <v>1</v>
      </c>
      <c r="B219" s="73" t="s">
        <v>20</v>
      </c>
      <c r="C219" s="73">
        <v>2</v>
      </c>
      <c r="D219" s="73">
        <v>1.23</v>
      </c>
      <c r="E219" s="73">
        <v>0.56000000000000005</v>
      </c>
      <c r="F219" s="82">
        <f>D219*E219</f>
        <v>0.68880000000000008</v>
      </c>
      <c r="G219" s="75">
        <f>$D$113</f>
        <v>0.747</v>
      </c>
      <c r="H219" s="73">
        <v>0.43</v>
      </c>
      <c r="I219" s="73">
        <f>H219/F219</f>
        <v>0.62427409988385585</v>
      </c>
      <c r="J219" s="82">
        <f>G219*(1-I219)*F219</f>
        <v>0.1933236000000001</v>
      </c>
      <c r="K219" s="88">
        <v>79.8</v>
      </c>
      <c r="L219" s="85">
        <v>0.9</v>
      </c>
      <c r="M219" s="86">
        <f>J219*L219*K219</f>
        <v>13.884500952000007</v>
      </c>
    </row>
    <row r="220" spans="1:13">
      <c r="A220" s="74">
        <v>2</v>
      </c>
      <c r="B220" s="75" t="s">
        <v>21</v>
      </c>
      <c r="C220" s="75">
        <v>2</v>
      </c>
      <c r="D220" s="82">
        <v>2.73</v>
      </c>
      <c r="E220" s="82">
        <v>1.56</v>
      </c>
      <c r="F220" s="82">
        <f>D220*E220</f>
        <v>4.2587999999999999</v>
      </c>
      <c r="G220" s="75">
        <f>$D$113</f>
        <v>0.747</v>
      </c>
      <c r="H220" s="82">
        <v>1.47</v>
      </c>
      <c r="I220" s="73">
        <f>H220/F220</f>
        <v>0.34516765285996054</v>
      </c>
      <c r="J220" s="82">
        <f>G220*(1-I220)*F220</f>
        <v>2.0832336000000002</v>
      </c>
      <c r="K220" s="88">
        <v>79.8</v>
      </c>
      <c r="L220" s="85">
        <v>0.9</v>
      </c>
      <c r="M220" s="86">
        <f>J220*L220*K220</f>
        <v>149.61783715200002</v>
      </c>
    </row>
    <row r="221" spans="1:13">
      <c r="A221" s="74" t="s">
        <v>97</v>
      </c>
      <c r="B221" s="75"/>
      <c r="C221" s="75"/>
      <c r="D221" s="75"/>
      <c r="E221" s="75"/>
      <c r="F221" s="75"/>
      <c r="G221" s="75"/>
      <c r="H221" s="75"/>
      <c r="I221" s="75"/>
      <c r="J221" s="75"/>
      <c r="K221" s="84"/>
      <c r="L221" s="85"/>
      <c r="M221" s="76"/>
    </row>
    <row r="222" spans="1:13">
      <c r="A222" s="72">
        <v>1</v>
      </c>
      <c r="B222" s="73" t="s">
        <v>20</v>
      </c>
      <c r="C222" s="73">
        <v>2</v>
      </c>
      <c r="D222" s="73">
        <v>1.23</v>
      </c>
      <c r="E222" s="73">
        <v>0.56000000000000005</v>
      </c>
      <c r="F222" s="82">
        <f>D222*E222</f>
        <v>0.68880000000000008</v>
      </c>
      <c r="G222" s="75">
        <f>$D$113</f>
        <v>0.747</v>
      </c>
      <c r="H222" s="73">
        <v>0.43</v>
      </c>
      <c r="I222" s="73">
        <f>H222/F222</f>
        <v>0.62427409988385585</v>
      </c>
      <c r="J222" s="82">
        <f>G222*(1-I222)*F222</f>
        <v>0.1933236000000001</v>
      </c>
      <c r="K222" s="88">
        <v>96.05</v>
      </c>
      <c r="L222" s="85">
        <v>0.9</v>
      </c>
      <c r="M222" s="86">
        <f>J222*L222*K222</f>
        <v>16.71185860200001</v>
      </c>
    </row>
    <row r="223" spans="1:13">
      <c r="A223" s="74">
        <v>2</v>
      </c>
      <c r="B223" s="75" t="s">
        <v>21</v>
      </c>
      <c r="C223" s="75">
        <v>2</v>
      </c>
      <c r="D223" s="82">
        <v>2.73</v>
      </c>
      <c r="E223" s="82">
        <v>1.56</v>
      </c>
      <c r="F223" s="82">
        <f>D223*E223</f>
        <v>4.2587999999999999</v>
      </c>
      <c r="G223" s="75">
        <f>$D$113</f>
        <v>0.747</v>
      </c>
      <c r="H223" s="82">
        <v>1.47</v>
      </c>
      <c r="I223" s="83">
        <f>H223/F223</f>
        <v>0.34516765285996054</v>
      </c>
      <c r="J223" s="82">
        <f>G223*(1-I223)*F223</f>
        <v>2.0832336000000002</v>
      </c>
      <c r="K223" s="88">
        <v>96.05</v>
      </c>
      <c r="L223" s="85">
        <v>0.9</v>
      </c>
      <c r="M223" s="86">
        <f>J223*L223*K223</f>
        <v>180.08512855200001</v>
      </c>
    </row>
    <row r="226" spans="1:14" ht="16.5" customHeight="1">
      <c r="A226" s="253" t="s">
        <v>110</v>
      </c>
      <c r="B226" s="254"/>
      <c r="C226" s="254"/>
      <c r="D226" s="254"/>
      <c r="E226" s="254"/>
      <c r="F226" s="254"/>
      <c r="G226" s="254"/>
      <c r="H226" s="254"/>
      <c r="I226" s="254"/>
      <c r="J226" s="254"/>
      <c r="K226" s="255"/>
      <c r="L226" s="48"/>
      <c r="M226" s="48"/>
      <c r="N226" s="48"/>
    </row>
    <row r="227" spans="1:14" ht="120">
      <c r="A227" s="95" t="s">
        <v>22</v>
      </c>
      <c r="B227" s="95" t="s">
        <v>23</v>
      </c>
      <c r="C227" s="95" t="s">
        <v>74</v>
      </c>
      <c r="D227" s="96" t="s">
        <v>111</v>
      </c>
      <c r="E227" s="96" t="s">
        <v>112</v>
      </c>
      <c r="F227" s="96" t="s">
        <v>113</v>
      </c>
      <c r="G227" s="96" t="s">
        <v>114</v>
      </c>
      <c r="H227" s="96" t="s">
        <v>81</v>
      </c>
      <c r="I227" s="96" t="s">
        <v>82</v>
      </c>
      <c r="J227" s="96" t="s">
        <v>83</v>
      </c>
      <c r="K227" s="96" t="s">
        <v>84</v>
      </c>
    </row>
    <row r="228" spans="1:14" ht="16.5">
      <c r="A228" s="95"/>
      <c r="B228" s="95"/>
      <c r="C228" s="95" t="s">
        <v>85</v>
      </c>
      <c r="D228" s="95" t="s">
        <v>274</v>
      </c>
      <c r="E228" s="95" t="s">
        <v>275</v>
      </c>
      <c r="F228" s="95" t="s">
        <v>276</v>
      </c>
      <c r="G228" s="95" t="s">
        <v>277</v>
      </c>
      <c r="H228" s="95" t="s">
        <v>278</v>
      </c>
      <c r="I228" s="95" t="s">
        <v>279</v>
      </c>
      <c r="J228" s="95" t="s">
        <v>280</v>
      </c>
      <c r="K228" s="95" t="s">
        <v>281</v>
      </c>
    </row>
    <row r="229" spans="1:14" ht="18">
      <c r="A229" s="95"/>
      <c r="B229" s="95"/>
      <c r="C229" s="95" t="s">
        <v>88</v>
      </c>
      <c r="D229" s="95" t="s">
        <v>282</v>
      </c>
      <c r="E229" s="95" t="s">
        <v>89</v>
      </c>
      <c r="F229" s="95" t="s">
        <v>282</v>
      </c>
      <c r="G229" s="95" t="s">
        <v>283</v>
      </c>
      <c r="H229" s="95" t="s">
        <v>282</v>
      </c>
      <c r="I229" s="95" t="s">
        <v>284</v>
      </c>
      <c r="J229" s="95" t="s">
        <v>89</v>
      </c>
      <c r="K229" s="95" t="s">
        <v>90</v>
      </c>
    </row>
    <row r="230" spans="1:14">
      <c r="A230" s="250" t="s">
        <v>10</v>
      </c>
      <c r="B230" s="251"/>
      <c r="C230" s="251"/>
      <c r="D230" s="251"/>
      <c r="E230" s="251"/>
      <c r="F230" s="251"/>
      <c r="G230" s="251"/>
      <c r="H230" s="251"/>
      <c r="I230" s="251"/>
      <c r="J230" s="251"/>
      <c r="K230" s="252"/>
    </row>
    <row r="231" spans="1:14">
      <c r="A231" s="95" t="s">
        <v>91</v>
      </c>
      <c r="B231" s="95"/>
      <c r="C231" s="95"/>
      <c r="D231" s="95"/>
      <c r="E231" s="95"/>
      <c r="F231" s="95"/>
      <c r="G231" s="95"/>
      <c r="H231" s="95"/>
      <c r="I231" s="95"/>
      <c r="J231" s="95"/>
      <c r="K231" s="95"/>
    </row>
    <row r="232" spans="1:14">
      <c r="A232" s="95">
        <v>1</v>
      </c>
      <c r="B232" s="95" t="s">
        <v>115</v>
      </c>
      <c r="C232" s="97">
        <v>1</v>
      </c>
      <c r="D232" s="95">
        <v>79.56</v>
      </c>
      <c r="E232" s="95">
        <v>0.6</v>
      </c>
      <c r="F232" s="95">
        <v>0.04</v>
      </c>
      <c r="G232" s="95">
        <v>2.1469999999999998</v>
      </c>
      <c r="H232" s="95">
        <f>E232*F232*G232*D232</f>
        <v>4.0995676799999998</v>
      </c>
      <c r="I232" s="95">
        <v>109.22</v>
      </c>
      <c r="J232" s="95">
        <v>0.9</v>
      </c>
      <c r="K232" s="98">
        <f>H232*J232*I232</f>
        <v>402.97930380864</v>
      </c>
    </row>
    <row r="233" spans="1:14">
      <c r="A233" s="95" t="s">
        <v>92</v>
      </c>
      <c r="B233" s="95"/>
      <c r="C233" s="99"/>
      <c r="D233" s="95"/>
      <c r="E233" s="95"/>
      <c r="F233" s="95"/>
      <c r="G233" s="95"/>
      <c r="H233" s="95"/>
      <c r="I233" s="95"/>
      <c r="J233" s="95"/>
      <c r="K233" s="98"/>
    </row>
    <row r="234" spans="1:14">
      <c r="A234" s="95">
        <v>1</v>
      </c>
      <c r="B234" s="95" t="s">
        <v>115</v>
      </c>
      <c r="C234" s="97">
        <v>1</v>
      </c>
      <c r="D234" s="95">
        <v>79.56</v>
      </c>
      <c r="E234" s="95">
        <v>0.6</v>
      </c>
      <c r="F234" s="95">
        <v>0.04</v>
      </c>
      <c r="G234" s="95">
        <v>2.1469999999999998</v>
      </c>
      <c r="H234" s="95">
        <f>E234*F234*G234*D234</f>
        <v>4.0995676799999998</v>
      </c>
      <c r="I234" s="95">
        <v>66.52</v>
      </c>
      <c r="J234" s="95">
        <v>0.9</v>
      </c>
      <c r="K234" s="98">
        <f>H234*J234*I234</f>
        <v>245.43291786623999</v>
      </c>
    </row>
    <row r="235" spans="1:14">
      <c r="A235" s="95" t="s">
        <v>93</v>
      </c>
      <c r="B235" s="95"/>
      <c r="C235" s="99"/>
      <c r="D235" s="95"/>
      <c r="E235" s="95"/>
      <c r="F235" s="95"/>
      <c r="G235" s="95"/>
      <c r="H235" s="95"/>
      <c r="I235" s="95"/>
      <c r="J235" s="95"/>
      <c r="K235" s="98"/>
    </row>
    <row r="236" spans="1:14">
      <c r="A236" s="95">
        <v>1</v>
      </c>
      <c r="B236" s="95" t="s">
        <v>115</v>
      </c>
      <c r="C236" s="97">
        <v>1</v>
      </c>
      <c r="D236" s="95">
        <v>79.56</v>
      </c>
      <c r="E236" s="95">
        <v>0.6</v>
      </c>
      <c r="F236" s="95">
        <v>0.04</v>
      </c>
      <c r="G236" s="95">
        <v>2.1469999999999998</v>
      </c>
      <c r="H236" s="95">
        <f>E236*F236*G236*D236</f>
        <v>4.0995676799999998</v>
      </c>
      <c r="I236" s="95">
        <v>52.8</v>
      </c>
      <c r="J236" s="95">
        <v>0.9</v>
      </c>
      <c r="K236" s="98">
        <f>H236*J236*I236</f>
        <v>194.81145615359998</v>
      </c>
    </row>
    <row r="237" spans="1:14">
      <c r="A237" s="95" t="s">
        <v>94</v>
      </c>
      <c r="B237" s="95"/>
      <c r="C237" s="99"/>
      <c r="D237" s="95"/>
      <c r="E237" s="95"/>
      <c r="F237" s="95"/>
      <c r="G237" s="95"/>
      <c r="H237" s="95"/>
      <c r="I237" s="95"/>
      <c r="J237" s="95"/>
      <c r="K237" s="98"/>
    </row>
    <row r="238" spans="1:14">
      <c r="A238" s="95">
        <v>1</v>
      </c>
      <c r="B238" s="95" t="s">
        <v>115</v>
      </c>
      <c r="C238" s="97">
        <v>1</v>
      </c>
      <c r="D238" s="95">
        <v>79.56</v>
      </c>
      <c r="E238" s="95">
        <v>0.6</v>
      </c>
      <c r="F238" s="95">
        <v>0.04</v>
      </c>
      <c r="G238" s="95">
        <v>2.1469999999999998</v>
      </c>
      <c r="H238" s="95">
        <f>E238*F238*G238*D238</f>
        <v>4.0995676799999998</v>
      </c>
      <c r="I238" s="95">
        <v>64.25</v>
      </c>
      <c r="J238" s="95">
        <v>0.9</v>
      </c>
      <c r="K238" s="98">
        <f>H238*J238*I238</f>
        <v>237.05750109600001</v>
      </c>
    </row>
    <row r="239" spans="1:14">
      <c r="A239" s="95" t="s">
        <v>95</v>
      </c>
      <c r="B239" s="95"/>
      <c r="C239" s="99"/>
      <c r="D239" s="95"/>
      <c r="E239" s="95"/>
      <c r="F239" s="95"/>
      <c r="G239" s="95"/>
      <c r="H239" s="95"/>
      <c r="I239" s="95"/>
      <c r="J239" s="95"/>
      <c r="K239" s="98"/>
    </row>
    <row r="240" spans="1:14">
      <c r="A240" s="95">
        <v>1</v>
      </c>
      <c r="B240" s="95" t="s">
        <v>115</v>
      </c>
      <c r="C240" s="97">
        <v>1</v>
      </c>
      <c r="D240" s="95">
        <v>79.56</v>
      </c>
      <c r="E240" s="95">
        <v>0.6</v>
      </c>
      <c r="F240" s="95">
        <v>0.04</v>
      </c>
      <c r="G240" s="95">
        <v>2.1469999999999998</v>
      </c>
      <c r="H240" s="95">
        <f>E240*F240*G240*D240</f>
        <v>4.0995676799999998</v>
      </c>
      <c r="I240" s="95">
        <v>76.98</v>
      </c>
      <c r="J240" s="95">
        <v>0.9</v>
      </c>
      <c r="K240" s="98">
        <f>H240*J240*I240</f>
        <v>284.02624800576001</v>
      </c>
    </row>
    <row r="241" spans="1:11">
      <c r="A241" s="95" t="s">
        <v>96</v>
      </c>
      <c r="B241" s="95"/>
      <c r="C241" s="99"/>
      <c r="D241" s="95"/>
      <c r="E241" s="95"/>
      <c r="F241" s="95"/>
      <c r="G241" s="95"/>
      <c r="H241" s="95"/>
      <c r="I241" s="95"/>
      <c r="J241" s="95"/>
      <c r="K241" s="98"/>
    </row>
    <row r="242" spans="1:11">
      <c r="A242" s="95">
        <v>1</v>
      </c>
      <c r="B242" s="95" t="s">
        <v>115</v>
      </c>
      <c r="C242" s="97">
        <v>1</v>
      </c>
      <c r="D242" s="95">
        <v>79.56</v>
      </c>
      <c r="E242" s="95">
        <v>0.6</v>
      </c>
      <c r="F242" s="95">
        <v>0.04</v>
      </c>
      <c r="G242" s="95">
        <v>2.1469999999999998</v>
      </c>
      <c r="H242" s="95">
        <f>E242*F242*G242*D242</f>
        <v>4.0995676799999998</v>
      </c>
      <c r="I242" s="95">
        <v>96.43</v>
      </c>
      <c r="J242" s="95">
        <v>0.9</v>
      </c>
      <c r="K242" s="98">
        <f>H242*J242*I242</f>
        <v>355.78918024416004</v>
      </c>
    </row>
    <row r="243" spans="1:11">
      <c r="A243" s="95" t="s">
        <v>97</v>
      </c>
      <c r="B243" s="95"/>
      <c r="C243" s="99"/>
      <c r="D243" s="95"/>
      <c r="E243" s="95"/>
      <c r="F243" s="95"/>
      <c r="G243" s="95"/>
      <c r="H243" s="95"/>
      <c r="I243" s="95"/>
      <c r="J243" s="95"/>
      <c r="K243" s="98"/>
    </row>
    <row r="244" spans="1:11">
      <c r="A244" s="95">
        <v>1</v>
      </c>
      <c r="B244" s="95" t="s">
        <v>115</v>
      </c>
      <c r="C244" s="97">
        <v>1</v>
      </c>
      <c r="D244" s="95">
        <v>79.56</v>
      </c>
      <c r="E244" s="95">
        <v>0.6</v>
      </c>
      <c r="F244" s="95">
        <v>0.04</v>
      </c>
      <c r="G244" s="95">
        <v>2.1469999999999998</v>
      </c>
      <c r="H244" s="95">
        <f>E244*F244*G244*D244</f>
        <v>4.0995676799999998</v>
      </c>
      <c r="I244" s="95">
        <v>86.73</v>
      </c>
      <c r="J244" s="95">
        <v>0.9</v>
      </c>
      <c r="K244" s="98">
        <f>H244*J244*I244</f>
        <v>319.99995439776001</v>
      </c>
    </row>
    <row r="245" spans="1:11">
      <c r="A245" s="250" t="s">
        <v>8</v>
      </c>
      <c r="B245" s="251"/>
      <c r="C245" s="251"/>
      <c r="D245" s="251"/>
      <c r="E245" s="251"/>
      <c r="F245" s="251"/>
      <c r="G245" s="251"/>
      <c r="H245" s="251"/>
      <c r="I245" s="251"/>
      <c r="J245" s="251"/>
      <c r="K245" s="252"/>
    </row>
    <row r="246" spans="1:11">
      <c r="A246" s="95" t="s">
        <v>91</v>
      </c>
      <c r="B246" s="95"/>
      <c r="C246" s="99"/>
      <c r="D246" s="95"/>
      <c r="E246" s="95"/>
      <c r="F246" s="95"/>
      <c r="G246" s="95"/>
      <c r="H246" s="95"/>
      <c r="I246" s="95"/>
      <c r="J246" s="95"/>
      <c r="K246" s="95"/>
    </row>
    <row r="247" spans="1:11">
      <c r="A247" s="95">
        <v>1</v>
      </c>
      <c r="B247" s="95" t="s">
        <v>116</v>
      </c>
      <c r="C247" s="97">
        <v>1</v>
      </c>
      <c r="D247" s="95">
        <f>3.25</f>
        <v>3.25</v>
      </c>
      <c r="E247" s="95">
        <v>0.6</v>
      </c>
      <c r="F247" s="95">
        <v>0.04</v>
      </c>
      <c r="G247" s="95">
        <v>2.1469999999999998</v>
      </c>
      <c r="H247" s="95">
        <f>E247*F247*G247*D247</f>
        <v>0.167466</v>
      </c>
      <c r="I247" s="95">
        <v>29.16</v>
      </c>
      <c r="J247" s="95">
        <v>0.6</v>
      </c>
      <c r="K247" s="95">
        <f>H247*J247*I247</f>
        <v>2.929985136</v>
      </c>
    </row>
    <row r="248" spans="1:11">
      <c r="A248" s="95">
        <v>2</v>
      </c>
      <c r="B248" s="95" t="s">
        <v>116</v>
      </c>
      <c r="C248" s="97">
        <v>1</v>
      </c>
      <c r="D248" s="95">
        <f>61.73-35.5-2*8.48</f>
        <v>9.269999999999996</v>
      </c>
      <c r="E248" s="95">
        <v>0.6</v>
      </c>
      <c r="F248" s="95">
        <v>0.04</v>
      </c>
      <c r="G248" s="95">
        <v>2.1469999999999998</v>
      </c>
      <c r="H248" s="95">
        <f>E248*F248*G248*D248</f>
        <v>0.47766455999999979</v>
      </c>
      <c r="I248" s="95">
        <v>29.16</v>
      </c>
      <c r="J248" s="95">
        <v>0.6</v>
      </c>
      <c r="K248" s="95">
        <f>H248*J248*I248</f>
        <v>8.3572191417599964</v>
      </c>
    </row>
    <row r="249" spans="1:11">
      <c r="A249" s="95">
        <v>3</v>
      </c>
      <c r="B249" s="95" t="s">
        <v>116</v>
      </c>
      <c r="C249" s="97">
        <v>1</v>
      </c>
      <c r="D249" s="95">
        <f>35.5-4.78-2.43</f>
        <v>28.29</v>
      </c>
      <c r="E249" s="95">
        <v>0.6</v>
      </c>
      <c r="F249" s="95">
        <v>0.04</v>
      </c>
      <c r="G249" s="95">
        <v>2.1469999999999998</v>
      </c>
      <c r="H249" s="95">
        <f>E249*F249*G249*D249</f>
        <v>1.4577271199999999</v>
      </c>
      <c r="I249" s="95">
        <v>29.16</v>
      </c>
      <c r="J249" s="95">
        <v>0.9</v>
      </c>
      <c r="K249" s="95">
        <f>H249*J249*I249</f>
        <v>38.256590537280005</v>
      </c>
    </row>
    <row r="250" spans="1:11">
      <c r="A250" s="95">
        <v>4</v>
      </c>
      <c r="B250" s="95" t="s">
        <v>117</v>
      </c>
      <c r="C250" s="97">
        <v>1</v>
      </c>
      <c r="D250" s="95">
        <f>31.57-(4.78+2.43)</f>
        <v>24.36</v>
      </c>
      <c r="E250" s="95">
        <v>0.6</v>
      </c>
      <c r="F250" s="95">
        <v>0.04</v>
      </c>
      <c r="G250" s="95">
        <v>2.1469999999999998</v>
      </c>
      <c r="H250" s="95">
        <f>E250*F250*G250*D250</f>
        <v>1.25522208</v>
      </c>
      <c r="I250" s="95">
        <v>29.16</v>
      </c>
      <c r="J250" s="95">
        <v>0.9</v>
      </c>
      <c r="K250" s="95">
        <f>H250*J250*I250</f>
        <v>32.942048267520001</v>
      </c>
    </row>
    <row r="251" spans="1:11">
      <c r="A251" s="95" t="s">
        <v>92</v>
      </c>
      <c r="B251" s="95"/>
      <c r="C251" s="99"/>
      <c r="D251" s="95"/>
      <c r="E251" s="95"/>
      <c r="F251" s="95"/>
      <c r="G251" s="95"/>
      <c r="H251" s="95"/>
      <c r="I251" s="95"/>
      <c r="J251" s="95"/>
      <c r="K251" s="95"/>
    </row>
    <row r="252" spans="1:11">
      <c r="A252" s="95">
        <v>1</v>
      </c>
      <c r="B252" s="95" t="s">
        <v>116</v>
      </c>
      <c r="C252" s="97">
        <v>1</v>
      </c>
      <c r="D252" s="95">
        <f>3.25</f>
        <v>3.25</v>
      </c>
      <c r="E252" s="95">
        <v>0.6</v>
      </c>
      <c r="F252" s="95">
        <v>0.04</v>
      </c>
      <c r="G252" s="95">
        <v>2.1469999999999998</v>
      </c>
      <c r="H252" s="95">
        <f>E252*F252*G252*D252</f>
        <v>0.167466</v>
      </c>
      <c r="I252" s="95">
        <v>17.93</v>
      </c>
      <c r="J252" s="95">
        <v>0.6</v>
      </c>
      <c r="K252" s="95">
        <f>H252*J252*I252</f>
        <v>1.8015992279999999</v>
      </c>
    </row>
    <row r="253" spans="1:11">
      <c r="A253" s="95">
        <v>2</v>
      </c>
      <c r="B253" s="95" t="s">
        <v>116</v>
      </c>
      <c r="C253" s="97">
        <v>1</v>
      </c>
      <c r="D253" s="95">
        <f>61.73-35.5-2*8.48</f>
        <v>9.269999999999996</v>
      </c>
      <c r="E253" s="95">
        <v>0.6</v>
      </c>
      <c r="F253" s="95">
        <v>0.04</v>
      </c>
      <c r="G253" s="95">
        <v>2.1469999999999998</v>
      </c>
      <c r="H253" s="95">
        <f>E253*F253*G253*D253</f>
        <v>0.47766455999999979</v>
      </c>
      <c r="I253" s="95">
        <v>17.93</v>
      </c>
      <c r="J253" s="95">
        <v>0.6</v>
      </c>
      <c r="K253" s="95">
        <f>H253*J253*I253</f>
        <v>5.1387153364799971</v>
      </c>
    </row>
    <row r="254" spans="1:11">
      <c r="A254" s="95">
        <v>3</v>
      </c>
      <c r="B254" s="95" t="s">
        <v>116</v>
      </c>
      <c r="C254" s="97">
        <v>1</v>
      </c>
      <c r="D254" s="95">
        <f>35.5-4.78-2.43</f>
        <v>28.29</v>
      </c>
      <c r="E254" s="95">
        <v>0.6</v>
      </c>
      <c r="F254" s="95">
        <v>0.04</v>
      </c>
      <c r="G254" s="95">
        <v>2.1469999999999998</v>
      </c>
      <c r="H254" s="95">
        <f>E254*F254*G254*D254</f>
        <v>1.4577271199999999</v>
      </c>
      <c r="I254" s="95">
        <v>17.93</v>
      </c>
      <c r="J254" s="95">
        <v>0.9</v>
      </c>
      <c r="K254" s="95">
        <f>H254*J254*I254</f>
        <v>23.523342535440001</v>
      </c>
    </row>
    <row r="255" spans="1:11">
      <c r="A255" s="95">
        <v>4</v>
      </c>
      <c r="B255" s="95" t="s">
        <v>117</v>
      </c>
      <c r="C255" s="97">
        <v>1</v>
      </c>
      <c r="D255" s="95">
        <f>31.57-(4.78+2.43)</f>
        <v>24.36</v>
      </c>
      <c r="E255" s="95">
        <v>0.6</v>
      </c>
      <c r="F255" s="95">
        <v>0.04</v>
      </c>
      <c r="G255" s="95">
        <v>2.1469999999999998</v>
      </c>
      <c r="H255" s="95">
        <f>E255*F255*G255*D255</f>
        <v>1.25522208</v>
      </c>
      <c r="I255" s="95">
        <v>17.93</v>
      </c>
      <c r="J255" s="95">
        <v>0.9</v>
      </c>
      <c r="K255" s="95">
        <f>H255*J255*I255</f>
        <v>20.25551870496</v>
      </c>
    </row>
    <row r="256" spans="1:11">
      <c r="A256" s="95" t="s">
        <v>93</v>
      </c>
      <c r="B256" s="95"/>
      <c r="C256" s="99"/>
      <c r="D256" s="95"/>
      <c r="E256" s="95"/>
      <c r="F256" s="95"/>
      <c r="G256" s="95"/>
      <c r="H256" s="95"/>
      <c r="I256" s="95"/>
      <c r="J256" s="95"/>
      <c r="K256" s="95"/>
    </row>
    <row r="257" spans="1:11">
      <c r="A257" s="95">
        <v>1</v>
      </c>
      <c r="B257" s="95" t="s">
        <v>116</v>
      </c>
      <c r="C257" s="97">
        <v>1</v>
      </c>
      <c r="D257" s="95">
        <f>3.25</f>
        <v>3.25</v>
      </c>
      <c r="E257" s="95">
        <v>0.6</v>
      </c>
      <c r="F257" s="95">
        <v>0.04</v>
      </c>
      <c r="G257" s="95">
        <v>2.1469999999999998</v>
      </c>
      <c r="H257" s="95">
        <f>E257*F257*G257*D257</f>
        <v>0.167466</v>
      </c>
      <c r="I257" s="95">
        <v>14.31</v>
      </c>
      <c r="J257" s="95">
        <v>0.6</v>
      </c>
      <c r="K257" s="95">
        <f>H257*J257*I257</f>
        <v>1.4378630760000002</v>
      </c>
    </row>
    <row r="258" spans="1:11">
      <c r="A258" s="95">
        <v>2</v>
      </c>
      <c r="B258" s="95" t="s">
        <v>116</v>
      </c>
      <c r="C258" s="97">
        <v>1</v>
      </c>
      <c r="D258" s="95">
        <f>61.73-35.5-2*8.48</f>
        <v>9.269999999999996</v>
      </c>
      <c r="E258" s="95">
        <v>0.6</v>
      </c>
      <c r="F258" s="95">
        <v>0.04</v>
      </c>
      <c r="G258" s="95">
        <v>2.1469999999999998</v>
      </c>
      <c r="H258" s="95">
        <f>E258*F258*G258*D258</f>
        <v>0.47766455999999979</v>
      </c>
      <c r="I258" s="95">
        <v>14.31</v>
      </c>
      <c r="J258" s="95">
        <v>0.6</v>
      </c>
      <c r="K258" s="95">
        <f>H258*J258*I258</f>
        <v>4.1012279121599979</v>
      </c>
    </row>
    <row r="259" spans="1:11">
      <c r="A259" s="95">
        <v>3</v>
      </c>
      <c r="B259" s="95" t="s">
        <v>116</v>
      </c>
      <c r="C259" s="97">
        <v>1</v>
      </c>
      <c r="D259" s="95">
        <f>35.5-4.78-2.43</f>
        <v>28.29</v>
      </c>
      <c r="E259" s="95">
        <v>0.6</v>
      </c>
      <c r="F259" s="95">
        <v>0.04</v>
      </c>
      <c r="G259" s="95">
        <v>2.1469999999999998</v>
      </c>
      <c r="H259" s="95">
        <f>E259*F259*G259*D259</f>
        <v>1.4577271199999999</v>
      </c>
      <c r="I259" s="95">
        <v>14.31</v>
      </c>
      <c r="J259" s="95">
        <v>0.9</v>
      </c>
      <c r="K259" s="95">
        <f>H259*J259*I259</f>
        <v>18.77406757848</v>
      </c>
    </row>
    <row r="260" spans="1:11">
      <c r="A260" s="95">
        <v>4</v>
      </c>
      <c r="B260" s="95" t="s">
        <v>117</v>
      </c>
      <c r="C260" s="97">
        <v>1</v>
      </c>
      <c r="D260" s="95">
        <f>31.57-(4.78+2.43)</f>
        <v>24.36</v>
      </c>
      <c r="E260" s="95">
        <v>0.6</v>
      </c>
      <c r="F260" s="95">
        <v>0.04</v>
      </c>
      <c r="G260" s="95">
        <v>2.1469999999999998</v>
      </c>
      <c r="H260" s="95">
        <f>E260*F260*G260*D260</f>
        <v>1.25522208</v>
      </c>
      <c r="I260" s="95">
        <v>14.31</v>
      </c>
      <c r="J260" s="95">
        <v>0.9</v>
      </c>
      <c r="K260" s="95">
        <f>H260*J260*I260</f>
        <v>16.166005168320002</v>
      </c>
    </row>
    <row r="261" spans="1:11">
      <c r="A261" s="95" t="s">
        <v>94</v>
      </c>
      <c r="B261" s="95"/>
      <c r="C261" s="99"/>
      <c r="D261" s="95"/>
      <c r="E261" s="95"/>
      <c r="F261" s="95"/>
      <c r="G261" s="95"/>
      <c r="H261" s="95"/>
      <c r="I261" s="95"/>
      <c r="J261" s="95"/>
      <c r="K261" s="95"/>
    </row>
    <row r="262" spans="1:11">
      <c r="A262" s="95">
        <v>1</v>
      </c>
      <c r="B262" s="95" t="s">
        <v>116</v>
      </c>
      <c r="C262" s="97">
        <v>1</v>
      </c>
      <c r="D262" s="95">
        <f>3.25</f>
        <v>3.25</v>
      </c>
      <c r="E262" s="95">
        <v>0.6</v>
      </c>
      <c r="F262" s="95">
        <v>0.04</v>
      </c>
      <c r="G262" s="95">
        <v>2.1469999999999998</v>
      </c>
      <c r="H262" s="95">
        <f>E262*F262*G262*D262</f>
        <v>0.167466</v>
      </c>
      <c r="I262" s="95">
        <v>17.420000000000002</v>
      </c>
      <c r="J262" s="95">
        <v>0.6</v>
      </c>
      <c r="K262" s="95">
        <f>H262*J262*I262</f>
        <v>1.7503546320000003</v>
      </c>
    </row>
    <row r="263" spans="1:11">
      <c r="A263" s="95">
        <v>2</v>
      </c>
      <c r="B263" s="95" t="s">
        <v>116</v>
      </c>
      <c r="C263" s="97">
        <v>1</v>
      </c>
      <c r="D263" s="95">
        <f>61.73-35.5-2*8.48</f>
        <v>9.269999999999996</v>
      </c>
      <c r="E263" s="95">
        <v>0.6</v>
      </c>
      <c r="F263" s="95">
        <v>0.04</v>
      </c>
      <c r="G263" s="95">
        <v>2.1469999999999998</v>
      </c>
      <c r="H263" s="95">
        <f>E263*F263*G263*D263</f>
        <v>0.47766455999999979</v>
      </c>
      <c r="I263" s="95">
        <v>17.420000000000002</v>
      </c>
      <c r="J263" s="95">
        <v>0.6</v>
      </c>
      <c r="K263" s="95">
        <f>H263*J263*I263</f>
        <v>4.992549981119998</v>
      </c>
    </row>
    <row r="264" spans="1:11">
      <c r="A264" s="95">
        <v>3</v>
      </c>
      <c r="B264" s="95" t="s">
        <v>116</v>
      </c>
      <c r="C264" s="97">
        <v>1</v>
      </c>
      <c r="D264" s="95">
        <f>35.5-4.78-2.43</f>
        <v>28.29</v>
      </c>
      <c r="E264" s="95">
        <v>0.6</v>
      </c>
      <c r="F264" s="95">
        <v>0.04</v>
      </c>
      <c r="G264" s="95">
        <v>2.1469999999999998</v>
      </c>
      <c r="H264" s="95">
        <f>E264*F264*G264*D264</f>
        <v>1.4577271199999999</v>
      </c>
      <c r="I264" s="95">
        <v>17.420000000000002</v>
      </c>
      <c r="J264" s="95">
        <v>0.9</v>
      </c>
      <c r="K264" s="95">
        <f>H264*J264*I264</f>
        <v>22.854245787360004</v>
      </c>
    </row>
    <row r="265" spans="1:11">
      <c r="A265" s="95">
        <v>4</v>
      </c>
      <c r="B265" s="95" t="s">
        <v>117</v>
      </c>
      <c r="C265" s="97">
        <v>1</v>
      </c>
      <c r="D265" s="95">
        <f>31.57-(4.78+2.43)</f>
        <v>24.36</v>
      </c>
      <c r="E265" s="95">
        <v>0.6</v>
      </c>
      <c r="F265" s="95">
        <v>0.04</v>
      </c>
      <c r="G265" s="95">
        <v>2.1469999999999998</v>
      </c>
      <c r="H265" s="95">
        <f>E265*F265*G265*D265</f>
        <v>1.25522208</v>
      </c>
      <c r="I265" s="95">
        <v>17.420000000000002</v>
      </c>
      <c r="J265" s="95">
        <v>0.9</v>
      </c>
      <c r="K265" s="95">
        <f>H265*J265*I265</f>
        <v>19.679371770240003</v>
      </c>
    </row>
    <row r="266" spans="1:11">
      <c r="A266" s="95" t="s">
        <v>95</v>
      </c>
      <c r="B266" s="95"/>
      <c r="C266" s="99"/>
      <c r="D266" s="95"/>
      <c r="E266" s="95"/>
      <c r="F266" s="95"/>
      <c r="G266" s="95"/>
      <c r="H266" s="95"/>
      <c r="I266" s="95"/>
      <c r="J266" s="95"/>
      <c r="K266" s="95"/>
    </row>
    <row r="267" spans="1:11">
      <c r="A267" s="95">
        <v>1</v>
      </c>
      <c r="B267" s="95" t="s">
        <v>116</v>
      </c>
      <c r="C267" s="97">
        <v>1</v>
      </c>
      <c r="D267" s="95">
        <f>3.25</f>
        <v>3.25</v>
      </c>
      <c r="E267" s="95">
        <v>0.6</v>
      </c>
      <c r="F267" s="95">
        <v>0.04</v>
      </c>
      <c r="G267" s="95">
        <v>2.1469999999999998</v>
      </c>
      <c r="H267" s="95">
        <f>E267*F267*G267*D267</f>
        <v>0.167466</v>
      </c>
      <c r="I267" s="95">
        <v>22.38</v>
      </c>
      <c r="J267" s="95">
        <v>0.6</v>
      </c>
      <c r="K267" s="95">
        <f>H267*J267*I267</f>
        <v>2.2487334479999999</v>
      </c>
    </row>
    <row r="268" spans="1:11">
      <c r="A268" s="95">
        <v>2</v>
      </c>
      <c r="B268" s="95" t="s">
        <v>116</v>
      </c>
      <c r="C268" s="97">
        <v>1</v>
      </c>
      <c r="D268" s="95">
        <f>61.73-35.5-2*8.48</f>
        <v>9.269999999999996</v>
      </c>
      <c r="E268" s="95">
        <v>0.6</v>
      </c>
      <c r="F268" s="95">
        <v>0.04</v>
      </c>
      <c r="G268" s="95">
        <v>2.1469999999999998</v>
      </c>
      <c r="H268" s="95">
        <f>E268*F268*G268*D268</f>
        <v>0.47766455999999979</v>
      </c>
      <c r="I268" s="95">
        <v>22.38</v>
      </c>
      <c r="J268" s="95">
        <v>0.6</v>
      </c>
      <c r="K268" s="95">
        <f>H268*J268*I268</f>
        <v>6.4140797116799968</v>
      </c>
    </row>
    <row r="269" spans="1:11">
      <c r="A269" s="95">
        <v>3</v>
      </c>
      <c r="B269" s="95" t="s">
        <v>116</v>
      </c>
      <c r="C269" s="97">
        <v>1</v>
      </c>
      <c r="D269" s="95">
        <f>35.5-4.78-2.43</f>
        <v>28.29</v>
      </c>
      <c r="E269" s="95">
        <v>0.6</v>
      </c>
      <c r="F269" s="95">
        <v>0.04</v>
      </c>
      <c r="G269" s="95">
        <v>2.1469999999999998</v>
      </c>
      <c r="H269" s="95">
        <f>E269*F269*G269*D269</f>
        <v>1.4577271199999999</v>
      </c>
      <c r="I269" s="95">
        <v>22.38</v>
      </c>
      <c r="J269" s="95">
        <v>0.9</v>
      </c>
      <c r="K269" s="95">
        <f>H269*J269*I269</f>
        <v>29.361539651040001</v>
      </c>
    </row>
    <row r="270" spans="1:11">
      <c r="A270" s="95">
        <v>4</v>
      </c>
      <c r="B270" s="95" t="s">
        <v>117</v>
      </c>
      <c r="C270" s="97">
        <v>1</v>
      </c>
      <c r="D270" s="95">
        <f>31.57-(4.78+2.43)</f>
        <v>24.36</v>
      </c>
      <c r="E270" s="95">
        <v>0.6</v>
      </c>
      <c r="F270" s="95">
        <v>0.04</v>
      </c>
      <c r="G270" s="95">
        <v>2.1469999999999998</v>
      </c>
      <c r="H270" s="95">
        <f>E270*F270*G270*D270</f>
        <v>1.25522208</v>
      </c>
      <c r="I270" s="95">
        <v>22.38</v>
      </c>
      <c r="J270" s="95">
        <v>0.9</v>
      </c>
      <c r="K270" s="95">
        <f>H270*J270*I270</f>
        <v>25.282683135359999</v>
      </c>
    </row>
    <row r="271" spans="1:11">
      <c r="A271" s="95" t="s">
        <v>96</v>
      </c>
      <c r="B271" s="95"/>
      <c r="C271" s="99"/>
      <c r="D271" s="95"/>
      <c r="E271" s="95"/>
      <c r="F271" s="95"/>
      <c r="G271" s="95"/>
      <c r="H271" s="95"/>
      <c r="I271" s="95"/>
      <c r="J271" s="95"/>
      <c r="K271" s="95"/>
    </row>
    <row r="272" spans="1:11">
      <c r="A272" s="95">
        <v>1</v>
      </c>
      <c r="B272" s="95" t="s">
        <v>116</v>
      </c>
      <c r="C272" s="97">
        <v>1</v>
      </c>
      <c r="D272" s="95">
        <f>3.25</f>
        <v>3.25</v>
      </c>
      <c r="E272" s="95">
        <v>0.6</v>
      </c>
      <c r="F272" s="95">
        <v>0.04</v>
      </c>
      <c r="G272" s="95">
        <v>2.1469999999999998</v>
      </c>
      <c r="H272" s="95">
        <f>E272*F272*G272*D272</f>
        <v>0.167466</v>
      </c>
      <c r="I272" s="95">
        <v>36.04</v>
      </c>
      <c r="J272" s="95">
        <v>0.6</v>
      </c>
      <c r="K272" s="95">
        <f>H272*J272*I272</f>
        <v>3.6212847840000002</v>
      </c>
    </row>
    <row r="273" spans="1:11">
      <c r="A273" s="95">
        <v>2</v>
      </c>
      <c r="B273" s="95" t="s">
        <v>116</v>
      </c>
      <c r="C273" s="97">
        <v>1</v>
      </c>
      <c r="D273" s="95">
        <f>61.73-35.5-2*8.48</f>
        <v>9.269999999999996</v>
      </c>
      <c r="E273" s="95">
        <v>0.6</v>
      </c>
      <c r="F273" s="95">
        <v>0.04</v>
      </c>
      <c r="G273" s="95">
        <v>2.1469999999999998</v>
      </c>
      <c r="H273" s="95">
        <f>E273*F273*G273*D273</f>
        <v>0.47766455999999979</v>
      </c>
      <c r="I273" s="95">
        <v>36.04</v>
      </c>
      <c r="J273" s="95">
        <v>0.6</v>
      </c>
      <c r="K273" s="95">
        <f>H273*J273*I273</f>
        <v>10.329018445439994</v>
      </c>
    </row>
    <row r="274" spans="1:11">
      <c r="A274" s="95">
        <v>3</v>
      </c>
      <c r="B274" s="95" t="s">
        <v>116</v>
      </c>
      <c r="C274" s="97">
        <v>1</v>
      </c>
      <c r="D274" s="95">
        <f>35.5-4.78-2.43</f>
        <v>28.29</v>
      </c>
      <c r="E274" s="95">
        <v>0.6</v>
      </c>
      <c r="F274" s="95">
        <v>0.04</v>
      </c>
      <c r="G274" s="95">
        <v>2.1469999999999998</v>
      </c>
      <c r="H274" s="95">
        <f>E275*F275*G275*D275</f>
        <v>1.25522208</v>
      </c>
      <c r="I274" s="95">
        <v>36.04</v>
      </c>
      <c r="J274" s="95">
        <v>0.9</v>
      </c>
      <c r="K274" s="95">
        <f>H274*J274*I274</f>
        <v>40.714383386880002</v>
      </c>
    </row>
    <row r="275" spans="1:11">
      <c r="A275" s="95">
        <v>4</v>
      </c>
      <c r="B275" s="95" t="s">
        <v>117</v>
      </c>
      <c r="C275" s="97">
        <v>1</v>
      </c>
      <c r="D275" s="95">
        <f>31.57-(4.78+2.43)</f>
        <v>24.36</v>
      </c>
      <c r="E275" s="95">
        <v>0.6</v>
      </c>
      <c r="F275" s="95">
        <v>0.04</v>
      </c>
      <c r="G275" s="95">
        <v>2.1469999999999998</v>
      </c>
      <c r="H275" s="100"/>
      <c r="I275" s="95">
        <v>36.04</v>
      </c>
      <c r="J275" s="95">
        <v>0.9</v>
      </c>
      <c r="K275" s="95">
        <f>H274*J275*I275</f>
        <v>40.714383386880002</v>
      </c>
    </row>
    <row r="276" spans="1:11">
      <c r="A276" s="95" t="s">
        <v>97</v>
      </c>
      <c r="B276" s="95"/>
      <c r="C276" s="99"/>
      <c r="D276" s="95"/>
      <c r="E276" s="95"/>
      <c r="F276" s="95"/>
      <c r="G276" s="95"/>
      <c r="H276" s="95"/>
      <c r="I276" s="95"/>
      <c r="J276" s="95"/>
      <c r="K276" s="95"/>
    </row>
    <row r="277" spans="1:11">
      <c r="A277" s="95">
        <v>1</v>
      </c>
      <c r="B277" s="95" t="s">
        <v>116</v>
      </c>
      <c r="C277" s="97">
        <v>1</v>
      </c>
      <c r="D277" s="95">
        <f>3.25</f>
        <v>3.25</v>
      </c>
      <c r="E277" s="95">
        <v>0.6</v>
      </c>
      <c r="F277" s="95">
        <v>0.04</v>
      </c>
      <c r="G277" s="95">
        <v>2.1469999999999998</v>
      </c>
      <c r="H277" s="95">
        <f>E277*F277*G277*D277</f>
        <v>0.167466</v>
      </c>
      <c r="I277" s="95">
        <v>44.64</v>
      </c>
      <c r="J277" s="95">
        <v>0.6</v>
      </c>
      <c r="K277" s="95">
        <f>H277*J277*I277</f>
        <v>4.4854093439999998</v>
      </c>
    </row>
    <row r="278" spans="1:11">
      <c r="A278" s="95">
        <v>2</v>
      </c>
      <c r="B278" s="95" t="s">
        <v>116</v>
      </c>
      <c r="C278" s="97">
        <v>1</v>
      </c>
      <c r="D278" s="95">
        <f>61.73-35.5-2*8.48</f>
        <v>9.269999999999996</v>
      </c>
      <c r="E278" s="95">
        <v>0.6</v>
      </c>
      <c r="F278" s="95">
        <v>0.04</v>
      </c>
      <c r="G278" s="95">
        <v>2.1469999999999998</v>
      </c>
      <c r="H278" s="95">
        <f>E278*F278*G278*D278</f>
        <v>0.47766455999999979</v>
      </c>
      <c r="I278" s="95">
        <v>44.64</v>
      </c>
      <c r="J278" s="95">
        <v>0.6</v>
      </c>
      <c r="K278" s="95">
        <f>H278*J278*I278</f>
        <v>12.793767575039993</v>
      </c>
    </row>
    <row r="279" spans="1:11">
      <c r="A279" s="95">
        <v>3</v>
      </c>
      <c r="B279" s="95" t="s">
        <v>116</v>
      </c>
      <c r="C279" s="97">
        <v>1</v>
      </c>
      <c r="D279" s="95">
        <f>35.5-4.78-2.43</f>
        <v>28.29</v>
      </c>
      <c r="E279" s="95">
        <v>0.6</v>
      </c>
      <c r="F279" s="95">
        <v>0.04</v>
      </c>
      <c r="G279" s="95">
        <v>2.1469999999999998</v>
      </c>
      <c r="H279" s="95">
        <f>E279*F279*G279*D279</f>
        <v>1.4577271199999999</v>
      </c>
      <c r="I279" s="95">
        <v>44.64</v>
      </c>
      <c r="J279" s="95">
        <v>0.9</v>
      </c>
      <c r="K279" s="95">
        <f>H279*J279*I279</f>
        <v>58.565644773120006</v>
      </c>
    </row>
    <row r="280" spans="1:11">
      <c r="A280" s="95">
        <v>4</v>
      </c>
      <c r="B280" s="95" t="s">
        <v>117</v>
      </c>
      <c r="C280" s="97">
        <v>1</v>
      </c>
      <c r="D280" s="95">
        <f>31.57-(4.78+2.43)</f>
        <v>24.36</v>
      </c>
      <c r="E280" s="95">
        <v>0.6</v>
      </c>
      <c r="F280" s="95">
        <v>0.04</v>
      </c>
      <c r="G280" s="95">
        <v>2.1469999999999998</v>
      </c>
      <c r="H280" s="95">
        <f>E280*F280*G280*D280</f>
        <v>1.25522208</v>
      </c>
      <c r="I280" s="95">
        <v>44.64</v>
      </c>
      <c r="J280" s="95">
        <v>0.9</v>
      </c>
      <c r="K280" s="95">
        <f>H280*J280*I280</f>
        <v>50.429802286079997</v>
      </c>
    </row>
    <row r="281" spans="1:11">
      <c r="A281" s="250" t="s">
        <v>9</v>
      </c>
      <c r="B281" s="251"/>
      <c r="C281" s="251"/>
      <c r="D281" s="251"/>
      <c r="E281" s="251"/>
      <c r="F281" s="251"/>
      <c r="G281" s="251"/>
      <c r="H281" s="251"/>
      <c r="I281" s="251"/>
      <c r="J281" s="251"/>
      <c r="K281" s="252"/>
    </row>
    <row r="282" spans="1:11">
      <c r="A282" s="95" t="s">
        <v>91</v>
      </c>
      <c r="B282" s="95"/>
      <c r="C282" s="95"/>
      <c r="D282" s="95"/>
      <c r="E282" s="95"/>
      <c r="F282" s="95"/>
      <c r="G282" s="95"/>
      <c r="H282" s="95"/>
      <c r="I282" s="95"/>
      <c r="J282" s="95"/>
      <c r="K282" s="95"/>
    </row>
    <row r="283" spans="1:11">
      <c r="A283" s="95">
        <v>1</v>
      </c>
      <c r="B283" s="95" t="s">
        <v>117</v>
      </c>
      <c r="C283" s="95">
        <v>1</v>
      </c>
      <c r="D283" s="95">
        <f>33.65-(2*4.78)</f>
        <v>24.089999999999996</v>
      </c>
      <c r="E283" s="95">
        <v>0.6</v>
      </c>
      <c r="F283" s="95">
        <v>0.04</v>
      </c>
      <c r="G283" s="95">
        <v>2.1469999999999998</v>
      </c>
      <c r="H283" s="95">
        <f>E283*F283*G283*D283</f>
        <v>1.2413095199999997</v>
      </c>
      <c r="I283" s="95">
        <v>67.209999999999994</v>
      </c>
      <c r="J283" s="95">
        <v>0.6</v>
      </c>
      <c r="K283" s="95">
        <f>H283*J283*I283</f>
        <v>50.057047703519977</v>
      </c>
    </row>
    <row r="284" spans="1:11">
      <c r="A284" s="95">
        <v>2</v>
      </c>
      <c r="B284" s="95" t="s">
        <v>117</v>
      </c>
      <c r="C284" s="95">
        <v>1</v>
      </c>
      <c r="D284" s="95">
        <f>54-2*4.78</f>
        <v>44.44</v>
      </c>
      <c r="E284" s="95">
        <v>0.6</v>
      </c>
      <c r="F284" s="95">
        <v>0.04</v>
      </c>
      <c r="G284" s="95">
        <v>2.1469999999999998</v>
      </c>
      <c r="H284" s="95">
        <f>E284*F284*G284*D284</f>
        <v>2.2899043199999998</v>
      </c>
      <c r="I284" s="95">
        <v>67.209999999999994</v>
      </c>
      <c r="J284" s="95">
        <v>0.9</v>
      </c>
      <c r="K284" s="95">
        <f>H284*J284*I284</f>
        <v>138.51402241247999</v>
      </c>
    </row>
    <row r="285" spans="1:11">
      <c r="A285" s="95" t="s">
        <v>92</v>
      </c>
      <c r="B285" s="95"/>
      <c r="C285" s="95"/>
      <c r="D285" s="95"/>
      <c r="E285" s="95"/>
      <c r="F285" s="95"/>
      <c r="G285" s="95"/>
      <c r="H285" s="95"/>
      <c r="I285" s="95"/>
      <c r="J285" s="95"/>
      <c r="K285" s="95"/>
    </row>
    <row r="286" spans="1:11">
      <c r="A286" s="95">
        <v>1</v>
      </c>
      <c r="B286" s="95" t="s">
        <v>117</v>
      </c>
      <c r="C286" s="95">
        <v>1</v>
      </c>
      <c r="D286" s="95">
        <f>33.65-(2*4.78)</f>
        <v>24.089999999999996</v>
      </c>
      <c r="E286" s="95">
        <v>0.6</v>
      </c>
      <c r="F286" s="95">
        <v>0.04</v>
      </c>
      <c r="G286" s="95">
        <v>2.1469999999999998</v>
      </c>
      <c r="H286" s="95">
        <f>E286*F286*G286*D286</f>
        <v>1.2413095199999997</v>
      </c>
      <c r="I286" s="95">
        <v>34.67</v>
      </c>
      <c r="J286" s="95">
        <v>0.6</v>
      </c>
      <c r="K286" s="95">
        <f>H286*J286*I286</f>
        <v>25.821720635039995</v>
      </c>
    </row>
    <row r="287" spans="1:11">
      <c r="A287" s="95">
        <v>2</v>
      </c>
      <c r="B287" s="95" t="s">
        <v>117</v>
      </c>
      <c r="C287" s="95">
        <v>1</v>
      </c>
      <c r="D287" s="95">
        <f>54-2*4.78</f>
        <v>44.44</v>
      </c>
      <c r="E287" s="95">
        <v>0.6</v>
      </c>
      <c r="F287" s="95">
        <v>0.04</v>
      </c>
      <c r="G287" s="95">
        <v>2.1469999999999998</v>
      </c>
      <c r="H287" s="95">
        <f>E287*F287*G287*D287</f>
        <v>2.2899043199999998</v>
      </c>
      <c r="I287" s="95">
        <v>34.67</v>
      </c>
      <c r="J287" s="95">
        <v>0.9</v>
      </c>
      <c r="K287" s="95">
        <f>H287*J287*I287</f>
        <v>71.451884496960005</v>
      </c>
    </row>
    <row r="288" spans="1:11">
      <c r="A288" s="95" t="s">
        <v>93</v>
      </c>
      <c r="B288" s="95"/>
      <c r="C288" s="95"/>
      <c r="D288" s="95"/>
      <c r="E288" s="95"/>
      <c r="F288" s="95"/>
      <c r="G288" s="95"/>
      <c r="H288" s="95"/>
      <c r="I288" s="95"/>
      <c r="J288" s="95"/>
      <c r="K288" s="95"/>
    </row>
    <row r="289" spans="1:11">
      <c r="A289" s="95">
        <v>1</v>
      </c>
      <c r="B289" s="95" t="s">
        <v>117</v>
      </c>
      <c r="C289" s="95">
        <v>1</v>
      </c>
      <c r="D289" s="95">
        <f>33.65-(2*4.78)</f>
        <v>24.089999999999996</v>
      </c>
      <c r="E289" s="95">
        <v>0.6</v>
      </c>
      <c r="F289" s="95">
        <v>0.04</v>
      </c>
      <c r="G289" s="95">
        <v>2.1469999999999998</v>
      </c>
      <c r="H289" s="95">
        <f>E289*F289*G289*D289</f>
        <v>1.2413095199999997</v>
      </c>
      <c r="I289" s="95">
        <v>25.53</v>
      </c>
      <c r="J289" s="95">
        <v>0.6</v>
      </c>
      <c r="K289" s="95">
        <f>H289*J289*I289</f>
        <v>19.014379227359996</v>
      </c>
    </row>
    <row r="290" spans="1:11">
      <c r="A290" s="95">
        <v>2</v>
      </c>
      <c r="B290" s="95" t="s">
        <v>117</v>
      </c>
      <c r="C290" s="95">
        <v>1</v>
      </c>
      <c r="D290" s="95">
        <f>54-2*4.78</f>
        <v>44.44</v>
      </c>
      <c r="E290" s="95">
        <v>0.6</v>
      </c>
      <c r="F290" s="95">
        <v>0.04</v>
      </c>
      <c r="G290" s="95">
        <v>2.1469999999999998</v>
      </c>
      <c r="H290" s="95">
        <f>E290*F290*G290*D290</f>
        <v>2.2899043199999998</v>
      </c>
      <c r="I290" s="95">
        <v>25.53</v>
      </c>
      <c r="J290" s="95">
        <v>0.9</v>
      </c>
      <c r="K290" s="95">
        <f>H290*J290*I290</f>
        <v>52.615131560640002</v>
      </c>
    </row>
    <row r="291" spans="1:11">
      <c r="A291" s="95" t="s">
        <v>94</v>
      </c>
      <c r="B291" s="95"/>
      <c r="C291" s="95"/>
      <c r="D291" s="95"/>
      <c r="E291" s="95"/>
      <c r="F291" s="95"/>
      <c r="G291" s="95"/>
      <c r="H291" s="95"/>
      <c r="I291" s="95"/>
      <c r="J291" s="95"/>
      <c r="K291" s="95"/>
    </row>
    <row r="292" spans="1:11">
      <c r="A292" s="95">
        <v>1</v>
      </c>
      <c r="B292" s="95" t="s">
        <v>117</v>
      </c>
      <c r="C292" s="95">
        <v>1</v>
      </c>
      <c r="D292" s="95">
        <f>33.65-(2*4.78)</f>
        <v>24.089999999999996</v>
      </c>
      <c r="E292" s="95">
        <v>0.6</v>
      </c>
      <c r="F292" s="95">
        <v>0.04</v>
      </c>
      <c r="G292" s="95">
        <v>2.1469999999999998</v>
      </c>
      <c r="H292" s="95">
        <f>E292*F292*G292*D292</f>
        <v>1.2413095199999997</v>
      </c>
      <c r="I292" s="95">
        <v>32.57</v>
      </c>
      <c r="J292" s="95">
        <v>0.6</v>
      </c>
      <c r="K292" s="95">
        <f>H292*J292*I292</f>
        <v>24.257670639839993</v>
      </c>
    </row>
    <row r="293" spans="1:11">
      <c r="A293" s="95">
        <v>2</v>
      </c>
      <c r="B293" s="95" t="s">
        <v>117</v>
      </c>
      <c r="C293" s="95">
        <v>1</v>
      </c>
      <c r="D293" s="95">
        <f>54-2*4.78</f>
        <v>44.44</v>
      </c>
      <c r="E293" s="95">
        <v>0.6</v>
      </c>
      <c r="F293" s="95">
        <v>0.04</v>
      </c>
      <c r="G293" s="95">
        <v>2.1469999999999998</v>
      </c>
      <c r="H293" s="95">
        <f>E293*F293*G293*D293</f>
        <v>2.2899043199999998</v>
      </c>
      <c r="I293" s="95">
        <v>32.57</v>
      </c>
      <c r="J293" s="95">
        <v>0.9</v>
      </c>
      <c r="K293" s="95">
        <f>H293*J293*I293</f>
        <v>67.123965332159997</v>
      </c>
    </row>
    <row r="294" spans="1:11">
      <c r="A294" s="95" t="s">
        <v>95</v>
      </c>
      <c r="B294" s="95"/>
      <c r="C294" s="95"/>
      <c r="D294" s="95"/>
      <c r="E294" s="95"/>
      <c r="F294" s="95"/>
      <c r="G294" s="95"/>
      <c r="H294" s="95"/>
      <c r="I294" s="95"/>
      <c r="J294" s="95"/>
      <c r="K294" s="95"/>
    </row>
    <row r="295" spans="1:11">
      <c r="A295" s="95">
        <v>1</v>
      </c>
      <c r="B295" s="95" t="s">
        <v>117</v>
      </c>
      <c r="C295" s="95">
        <v>1</v>
      </c>
      <c r="D295" s="95">
        <f>33.65-(2*4.78)</f>
        <v>24.089999999999996</v>
      </c>
      <c r="E295" s="95">
        <v>0.6</v>
      </c>
      <c r="F295" s="95">
        <v>0.04</v>
      </c>
      <c r="G295" s="95">
        <v>2.1469999999999998</v>
      </c>
      <c r="H295" s="95">
        <f>E295*F295*G295*D295</f>
        <v>1.2413095199999997</v>
      </c>
      <c r="I295" s="95">
        <v>55.35</v>
      </c>
      <c r="J295" s="95">
        <v>0.6</v>
      </c>
      <c r="K295" s="95">
        <f>H295*J295*I295</f>
        <v>41.223889159199992</v>
      </c>
    </row>
    <row r="296" spans="1:11">
      <c r="A296" s="95">
        <v>2</v>
      </c>
      <c r="B296" s="95" t="s">
        <v>117</v>
      </c>
      <c r="C296" s="95">
        <v>1</v>
      </c>
      <c r="D296" s="95">
        <f>54-2*4.78</f>
        <v>44.44</v>
      </c>
      <c r="E296" s="95">
        <v>0.6</v>
      </c>
      <c r="F296" s="95">
        <v>0.04</v>
      </c>
      <c r="G296" s="95">
        <v>2.1469999999999998</v>
      </c>
      <c r="H296" s="95">
        <f>E296*F296*G296*D296</f>
        <v>2.2899043199999998</v>
      </c>
      <c r="I296" s="95">
        <v>55.35</v>
      </c>
      <c r="J296" s="95">
        <v>0.9</v>
      </c>
      <c r="K296" s="95">
        <f>H296*J296*I296</f>
        <v>114.07158370080001</v>
      </c>
    </row>
    <row r="297" spans="1:11">
      <c r="A297" s="95" t="s">
        <v>96</v>
      </c>
      <c r="B297" s="95"/>
      <c r="C297" s="95"/>
      <c r="D297" s="95"/>
      <c r="E297" s="95"/>
      <c r="F297" s="95"/>
      <c r="G297" s="95"/>
      <c r="H297" s="95"/>
      <c r="I297" s="95"/>
      <c r="J297" s="95"/>
      <c r="K297" s="95"/>
    </row>
    <row r="298" spans="1:11">
      <c r="A298" s="95">
        <v>1</v>
      </c>
      <c r="B298" s="95" t="s">
        <v>117</v>
      </c>
      <c r="C298" s="95">
        <v>1</v>
      </c>
      <c r="D298" s="95">
        <f>33.65-(2*4.78)</f>
        <v>24.089999999999996</v>
      </c>
      <c r="E298" s="95">
        <v>0.6</v>
      </c>
      <c r="F298" s="95">
        <v>0.04</v>
      </c>
      <c r="G298" s="95">
        <v>2.1469999999999998</v>
      </c>
      <c r="H298" s="95">
        <f>E298*F298*G298*D298</f>
        <v>1.2413095199999997</v>
      </c>
      <c r="I298" s="95">
        <v>79.8</v>
      </c>
      <c r="J298" s="95">
        <v>0.6</v>
      </c>
      <c r="K298" s="95">
        <f>H298*J298*I298</f>
        <v>59.433899817599979</v>
      </c>
    </row>
    <row r="299" spans="1:11">
      <c r="A299" s="95">
        <v>2</v>
      </c>
      <c r="B299" s="95" t="s">
        <v>117</v>
      </c>
      <c r="C299" s="95">
        <v>1</v>
      </c>
      <c r="D299" s="95">
        <f>54-2*4.78</f>
        <v>44.44</v>
      </c>
      <c r="E299" s="95">
        <v>0.6</v>
      </c>
      <c r="F299" s="95">
        <v>0.04</v>
      </c>
      <c r="G299" s="95">
        <v>2.1469999999999998</v>
      </c>
      <c r="H299" s="95">
        <f>E299*F299*G299*D299</f>
        <v>2.2899043199999998</v>
      </c>
      <c r="I299" s="95">
        <v>79.8</v>
      </c>
      <c r="J299" s="95">
        <v>0.9</v>
      </c>
      <c r="K299" s="95">
        <f>H299*J299*I299</f>
        <v>164.46092826239999</v>
      </c>
    </row>
    <row r="300" spans="1:11">
      <c r="A300" s="95" t="s">
        <v>97</v>
      </c>
      <c r="B300" s="95"/>
      <c r="C300" s="95"/>
      <c r="D300" s="95"/>
      <c r="E300" s="95"/>
      <c r="F300" s="95"/>
      <c r="G300" s="95"/>
      <c r="H300" s="95"/>
      <c r="I300" s="95"/>
      <c r="J300" s="95"/>
      <c r="K300" s="95"/>
    </row>
    <row r="301" spans="1:11">
      <c r="A301" s="95">
        <v>1</v>
      </c>
      <c r="B301" s="95" t="s">
        <v>117</v>
      </c>
      <c r="C301" s="95">
        <v>1</v>
      </c>
      <c r="D301" s="95">
        <f>33.65-(2*4.78)</f>
        <v>24.089999999999996</v>
      </c>
      <c r="E301" s="95">
        <v>0.6</v>
      </c>
      <c r="F301" s="95">
        <v>0.04</v>
      </c>
      <c r="G301" s="95">
        <v>2.1469999999999998</v>
      </c>
      <c r="H301" s="95">
        <f>E301*F301*G301*D301</f>
        <v>1.2413095199999997</v>
      </c>
      <c r="I301" s="95">
        <v>96.05</v>
      </c>
      <c r="J301" s="95">
        <v>0.6</v>
      </c>
      <c r="K301" s="95">
        <f>H301*J301*I301</f>
        <v>71.536667637599976</v>
      </c>
    </row>
    <row r="302" spans="1:11">
      <c r="A302" s="95">
        <v>2</v>
      </c>
      <c r="B302" s="95" t="s">
        <v>117</v>
      </c>
      <c r="C302" s="95">
        <v>1</v>
      </c>
      <c r="D302" s="95">
        <f>54-2*4.78</f>
        <v>44.44</v>
      </c>
      <c r="E302" s="95">
        <v>0.6</v>
      </c>
      <c r="F302" s="95">
        <v>0.04</v>
      </c>
      <c r="G302" s="95">
        <v>2.1469999999999998</v>
      </c>
      <c r="H302" s="95">
        <f>E302*F302*G302*D302</f>
        <v>2.2899043199999998</v>
      </c>
      <c r="I302" s="95">
        <v>96.05</v>
      </c>
      <c r="J302" s="95">
        <v>0.9</v>
      </c>
      <c r="K302" s="95">
        <f>H302*J302*I302</f>
        <v>197.95077894239998</v>
      </c>
    </row>
    <row r="303" spans="1:11">
      <c r="A303" s="250" t="s">
        <v>11</v>
      </c>
      <c r="B303" s="251"/>
      <c r="C303" s="251"/>
      <c r="D303" s="251"/>
      <c r="E303" s="251"/>
      <c r="F303" s="251"/>
      <c r="G303" s="251"/>
      <c r="H303" s="251"/>
      <c r="I303" s="251"/>
      <c r="J303" s="251"/>
      <c r="K303" s="252"/>
    </row>
    <row r="304" spans="1:11">
      <c r="A304" s="95" t="s">
        <v>91</v>
      </c>
      <c r="B304" s="95"/>
      <c r="C304" s="95"/>
      <c r="D304" s="95"/>
      <c r="E304" s="95"/>
      <c r="F304" s="95"/>
      <c r="G304" s="95"/>
      <c r="H304" s="95"/>
      <c r="I304" s="95"/>
      <c r="J304" s="95"/>
      <c r="K304" s="95"/>
    </row>
    <row r="305" spans="1:11">
      <c r="A305" s="95">
        <v>1</v>
      </c>
      <c r="B305" s="95" t="s">
        <v>118</v>
      </c>
      <c r="C305" s="95">
        <v>1</v>
      </c>
      <c r="D305" s="95">
        <f>25.4-2*0.69</f>
        <v>24.02</v>
      </c>
      <c r="E305" s="95">
        <v>0.6</v>
      </c>
      <c r="F305" s="95">
        <v>0.04</v>
      </c>
      <c r="G305" s="95">
        <v>2.1469999999999998</v>
      </c>
      <c r="H305" s="95">
        <f>E305*F305*G305*D305</f>
        <v>1.23770256</v>
      </c>
      <c r="I305" s="95">
        <v>67.209999999999994</v>
      </c>
      <c r="J305" s="95">
        <v>0.9</v>
      </c>
      <c r="K305" s="95">
        <f>H305*J305*I305</f>
        <v>74.867390151839999</v>
      </c>
    </row>
    <row r="306" spans="1:11">
      <c r="A306" s="95">
        <v>2</v>
      </c>
      <c r="B306" s="95" t="s">
        <v>118</v>
      </c>
      <c r="C306" s="95">
        <v>1</v>
      </c>
      <c r="D306" s="95">
        <f>27.12-2*4.26</f>
        <v>18.600000000000001</v>
      </c>
      <c r="E306" s="95">
        <v>0.6</v>
      </c>
      <c r="F306" s="95">
        <v>0.04</v>
      </c>
      <c r="G306" s="95">
        <v>2.1469999999999998</v>
      </c>
      <c r="H306" s="95">
        <f>E306*F306*G306*D306</f>
        <v>0.95842080000000007</v>
      </c>
      <c r="I306" s="95">
        <v>67.209999999999994</v>
      </c>
      <c r="J306" s="95">
        <v>0.9</v>
      </c>
      <c r="K306" s="95">
        <f>H306*J306*I306</f>
        <v>57.973915771200005</v>
      </c>
    </row>
    <row r="307" spans="1:11">
      <c r="A307" s="95" t="s">
        <v>92</v>
      </c>
      <c r="B307" s="95"/>
      <c r="C307" s="95"/>
      <c r="D307" s="95"/>
      <c r="E307" s="95"/>
      <c r="F307" s="95"/>
      <c r="G307" s="95"/>
      <c r="H307" s="95"/>
      <c r="I307" s="95"/>
      <c r="J307" s="95"/>
      <c r="K307" s="95"/>
    </row>
    <row r="308" spans="1:11">
      <c r="A308" s="95">
        <v>1</v>
      </c>
      <c r="B308" s="95" t="s">
        <v>118</v>
      </c>
      <c r="C308" s="95">
        <v>1</v>
      </c>
      <c r="D308" s="95">
        <f>25.4-2*0.69</f>
        <v>24.02</v>
      </c>
      <c r="E308" s="95">
        <v>0.6</v>
      </c>
      <c r="F308" s="95">
        <v>0.04</v>
      </c>
      <c r="G308" s="95">
        <v>2.1469999999999998</v>
      </c>
      <c r="H308" s="95">
        <f>E308*F308*G308*D308</f>
        <v>1.23770256</v>
      </c>
      <c r="I308" s="95">
        <v>34.67</v>
      </c>
      <c r="J308" s="95">
        <v>0.9</v>
      </c>
      <c r="K308" s="95">
        <f>H308*J308*I308</f>
        <v>38.620032979680005</v>
      </c>
    </row>
    <row r="309" spans="1:11">
      <c r="A309" s="95">
        <v>2</v>
      </c>
      <c r="B309" s="95" t="s">
        <v>118</v>
      </c>
      <c r="C309" s="95">
        <v>1</v>
      </c>
      <c r="D309" s="95">
        <f>27.12-2*4.26</f>
        <v>18.600000000000001</v>
      </c>
      <c r="E309" s="95">
        <v>0.6</v>
      </c>
      <c r="F309" s="95">
        <v>0.04</v>
      </c>
      <c r="G309" s="95">
        <v>2.1469999999999998</v>
      </c>
      <c r="H309" s="95">
        <f>E309*F309*G309*D309</f>
        <v>0.95842080000000007</v>
      </c>
      <c r="I309" s="95">
        <v>34.67</v>
      </c>
      <c r="J309" s="95">
        <v>0.9</v>
      </c>
      <c r="K309" s="95">
        <f>H309*J309*I309</f>
        <v>29.905604222400004</v>
      </c>
    </row>
    <row r="310" spans="1:11">
      <c r="A310" s="95" t="s">
        <v>93</v>
      </c>
      <c r="B310" s="95"/>
      <c r="C310" s="95"/>
      <c r="D310" s="95"/>
      <c r="E310" s="95"/>
      <c r="F310" s="95"/>
      <c r="G310" s="95"/>
      <c r="H310" s="95"/>
      <c r="I310" s="95"/>
      <c r="J310" s="95"/>
      <c r="K310" s="95"/>
    </row>
    <row r="311" spans="1:11">
      <c r="A311" s="95">
        <v>1</v>
      </c>
      <c r="B311" s="95" t="s">
        <v>118</v>
      </c>
      <c r="C311" s="95">
        <v>1</v>
      </c>
      <c r="D311" s="95">
        <f>25.4-2*0.69</f>
        <v>24.02</v>
      </c>
      <c r="E311" s="95">
        <v>0.6</v>
      </c>
      <c r="F311" s="95">
        <v>0.04</v>
      </c>
      <c r="G311" s="95">
        <v>2.1469999999999998</v>
      </c>
      <c r="H311" s="95">
        <f>E311*F311*G311*D311</f>
        <v>1.23770256</v>
      </c>
      <c r="I311" s="95">
        <v>25.53</v>
      </c>
      <c r="J311" s="95">
        <v>0.9</v>
      </c>
      <c r="K311" s="95">
        <f>H311*J311*I311</f>
        <v>28.438691721120001</v>
      </c>
    </row>
    <row r="312" spans="1:11">
      <c r="A312" s="95">
        <v>2</v>
      </c>
      <c r="B312" s="95" t="s">
        <v>118</v>
      </c>
      <c r="C312" s="95">
        <v>1</v>
      </c>
      <c r="D312" s="95">
        <f>27.12-2*4.26</f>
        <v>18.600000000000001</v>
      </c>
      <c r="E312" s="95">
        <v>0.6</v>
      </c>
      <c r="F312" s="95">
        <v>0.04</v>
      </c>
      <c r="G312" s="95">
        <v>2.1469999999999998</v>
      </c>
      <c r="H312" s="95">
        <f>E312*F312*G312*D312</f>
        <v>0.95842080000000007</v>
      </c>
      <c r="I312" s="95">
        <v>25.53</v>
      </c>
      <c r="J312" s="95">
        <v>0.9</v>
      </c>
      <c r="K312" s="95">
        <f>H312*J312*I312</f>
        <v>22.021634721600005</v>
      </c>
    </row>
    <row r="313" spans="1:11">
      <c r="A313" s="95" t="s">
        <v>94</v>
      </c>
      <c r="B313" s="95"/>
      <c r="C313" s="95"/>
      <c r="D313" s="95"/>
      <c r="E313" s="95"/>
      <c r="F313" s="95"/>
      <c r="G313" s="95"/>
      <c r="H313" s="95"/>
      <c r="I313" s="95"/>
      <c r="J313" s="95"/>
      <c r="K313" s="95"/>
    </row>
    <row r="314" spans="1:11">
      <c r="A314" s="95">
        <v>1</v>
      </c>
      <c r="B314" s="95" t="s">
        <v>118</v>
      </c>
      <c r="C314" s="95">
        <v>1</v>
      </c>
      <c r="D314" s="95">
        <f>25.4-2*0.69</f>
        <v>24.02</v>
      </c>
      <c r="E314" s="95">
        <v>0.6</v>
      </c>
      <c r="F314" s="95">
        <v>0.04</v>
      </c>
      <c r="G314" s="95">
        <v>2.1469999999999998</v>
      </c>
      <c r="H314" s="95">
        <f>E314*F314*G314*D314</f>
        <v>1.23770256</v>
      </c>
      <c r="I314" s="95">
        <v>32.57</v>
      </c>
      <c r="J314" s="95">
        <v>0.9</v>
      </c>
      <c r="K314" s="95">
        <f>H314*J314*I314</f>
        <v>36.280775141280003</v>
      </c>
    </row>
    <row r="315" spans="1:11">
      <c r="A315" s="95">
        <v>2</v>
      </c>
      <c r="B315" s="95" t="s">
        <v>118</v>
      </c>
      <c r="C315" s="95">
        <v>1</v>
      </c>
      <c r="D315" s="95">
        <f>27.12-2*4.26</f>
        <v>18.600000000000001</v>
      </c>
      <c r="E315" s="95">
        <v>0.6</v>
      </c>
      <c r="F315" s="95">
        <v>0.04</v>
      </c>
      <c r="G315" s="95">
        <v>2.1469999999999998</v>
      </c>
      <c r="H315" s="95">
        <f>E315*F315*G315*D315</f>
        <v>0.95842080000000007</v>
      </c>
      <c r="I315" s="95">
        <v>32.57</v>
      </c>
      <c r="J315" s="95">
        <v>0.9</v>
      </c>
      <c r="K315" s="95">
        <f>H315*J315*I315</f>
        <v>28.094188910400003</v>
      </c>
    </row>
    <row r="316" spans="1:11">
      <c r="A316" s="95" t="s">
        <v>95</v>
      </c>
      <c r="B316" s="95"/>
      <c r="C316" s="95"/>
      <c r="D316" s="95"/>
      <c r="E316" s="95"/>
      <c r="F316" s="95"/>
      <c r="G316" s="95"/>
      <c r="H316" s="95"/>
      <c r="I316" s="95"/>
      <c r="J316" s="95"/>
      <c r="K316" s="95"/>
    </row>
    <row r="317" spans="1:11">
      <c r="A317" s="95">
        <v>1</v>
      </c>
      <c r="B317" s="95" t="s">
        <v>118</v>
      </c>
      <c r="C317" s="95">
        <v>1</v>
      </c>
      <c r="D317" s="95">
        <f>25.4-2*0.69</f>
        <v>24.02</v>
      </c>
      <c r="E317" s="95">
        <v>0.6</v>
      </c>
      <c r="F317" s="95">
        <v>0.04</v>
      </c>
      <c r="G317" s="95">
        <v>2.1469999999999998</v>
      </c>
      <c r="H317" s="95">
        <f>E317*F317*G317*D317</f>
        <v>1.23770256</v>
      </c>
      <c r="I317" s="95">
        <v>55.35</v>
      </c>
      <c r="J317" s="95">
        <v>0.9</v>
      </c>
      <c r="K317" s="95">
        <f>H317*J317*I317</f>
        <v>61.656153026399998</v>
      </c>
    </row>
    <row r="318" spans="1:11">
      <c r="A318" s="95">
        <v>2</v>
      </c>
      <c r="B318" s="95" t="s">
        <v>118</v>
      </c>
      <c r="C318" s="95">
        <v>1</v>
      </c>
      <c r="D318" s="95">
        <f>27.12-2*4.26</f>
        <v>18.600000000000001</v>
      </c>
      <c r="E318" s="95">
        <v>0.6</v>
      </c>
      <c r="F318" s="95">
        <v>0.04</v>
      </c>
      <c r="G318" s="95">
        <v>2.1469999999999998</v>
      </c>
      <c r="H318" s="95">
        <f>E318*F318*G318*D318</f>
        <v>0.95842080000000007</v>
      </c>
      <c r="I318" s="95">
        <v>55.35</v>
      </c>
      <c r="J318" s="95">
        <v>0.9</v>
      </c>
      <c r="K318" s="95">
        <f>H318*J318*I318</f>
        <v>47.743732152000007</v>
      </c>
    </row>
    <row r="319" spans="1:11">
      <c r="A319" s="95" t="s">
        <v>96</v>
      </c>
      <c r="B319" s="95"/>
      <c r="C319" s="95"/>
      <c r="D319" s="95"/>
      <c r="E319" s="95"/>
      <c r="F319" s="95"/>
      <c r="G319" s="95"/>
      <c r="H319" s="95"/>
      <c r="I319" s="95"/>
      <c r="J319" s="95"/>
      <c r="K319" s="95"/>
    </row>
    <row r="320" spans="1:11">
      <c r="A320" s="95">
        <v>1</v>
      </c>
      <c r="B320" s="95" t="s">
        <v>118</v>
      </c>
      <c r="C320" s="95">
        <v>1</v>
      </c>
      <c r="D320" s="95">
        <f>25.4-2*0.69</f>
        <v>24.02</v>
      </c>
      <c r="E320" s="95">
        <v>0.6</v>
      </c>
      <c r="F320" s="95">
        <v>0.04</v>
      </c>
      <c r="G320" s="95">
        <v>2.1469999999999998</v>
      </c>
      <c r="H320" s="95">
        <f>E320*F320*G320*D320</f>
        <v>1.23770256</v>
      </c>
      <c r="I320" s="95">
        <v>79.8</v>
      </c>
      <c r="J320" s="95">
        <v>0.9</v>
      </c>
      <c r="K320" s="95">
        <f>H320*J320*I320</f>
        <v>88.891797859199997</v>
      </c>
    </row>
    <row r="321" spans="1:12">
      <c r="A321" s="95">
        <v>2</v>
      </c>
      <c r="B321" s="95" t="s">
        <v>118</v>
      </c>
      <c r="C321" s="95">
        <v>1</v>
      </c>
      <c r="D321" s="95">
        <f>27.12-2*4.26</f>
        <v>18.600000000000001</v>
      </c>
      <c r="E321" s="95">
        <v>0.6</v>
      </c>
      <c r="F321" s="95">
        <v>0.04</v>
      </c>
      <c r="G321" s="95">
        <v>2.1469999999999998</v>
      </c>
      <c r="H321" s="95">
        <f>E321*F321*G321*D321</f>
        <v>0.95842080000000007</v>
      </c>
      <c r="I321" s="95">
        <v>79.8</v>
      </c>
      <c r="J321" s="95">
        <v>0.9</v>
      </c>
      <c r="K321" s="95">
        <f>H321*J321*I321</f>
        <v>68.833781856000002</v>
      </c>
    </row>
    <row r="322" spans="1:12">
      <c r="A322" s="95" t="s">
        <v>97</v>
      </c>
      <c r="B322" s="95"/>
      <c r="C322" s="95"/>
      <c r="D322" s="95"/>
      <c r="E322" s="95"/>
      <c r="F322" s="95"/>
      <c r="G322" s="95"/>
      <c r="H322" s="95"/>
      <c r="I322" s="95"/>
      <c r="J322" s="95"/>
      <c r="K322" s="95"/>
    </row>
    <row r="323" spans="1:12">
      <c r="A323" s="95">
        <v>1</v>
      </c>
      <c r="B323" s="95" t="s">
        <v>118</v>
      </c>
      <c r="C323" s="95">
        <v>1</v>
      </c>
      <c r="D323" s="95">
        <f>25.4-2*0.69</f>
        <v>24.02</v>
      </c>
      <c r="E323" s="95">
        <v>0.6</v>
      </c>
      <c r="F323" s="95">
        <v>0.04</v>
      </c>
      <c r="G323" s="95">
        <v>2.1469999999999998</v>
      </c>
      <c r="H323" s="95">
        <f>E323*F323*G323*D323</f>
        <v>1.23770256</v>
      </c>
      <c r="I323" s="95">
        <v>96.05</v>
      </c>
      <c r="J323" s="95">
        <v>0.9</v>
      </c>
      <c r="K323" s="95">
        <f>H323*J323*I323</f>
        <v>106.99319779919999</v>
      </c>
    </row>
    <row r="324" spans="1:12">
      <c r="A324" s="95">
        <v>2</v>
      </c>
      <c r="B324" s="95" t="s">
        <v>118</v>
      </c>
      <c r="C324" s="95">
        <v>1</v>
      </c>
      <c r="D324" s="95">
        <f>27.12-2*4.26</f>
        <v>18.600000000000001</v>
      </c>
      <c r="E324" s="95">
        <v>0.6</v>
      </c>
      <c r="F324" s="95">
        <v>0.04</v>
      </c>
      <c r="G324" s="95">
        <v>2.1469999999999998</v>
      </c>
      <c r="H324" s="95">
        <f>E324*F324*G324*D324</f>
        <v>0.95842080000000007</v>
      </c>
      <c r="I324" s="95">
        <v>96.05</v>
      </c>
      <c r="J324" s="95">
        <v>0.9</v>
      </c>
      <c r="K324" s="95">
        <f>H324*J324*I324</f>
        <v>82.850686056000015</v>
      </c>
    </row>
    <row r="326" spans="1:12" ht="58.5" customHeight="1">
      <c r="A326" s="184" t="s">
        <v>209</v>
      </c>
      <c r="B326" s="185"/>
      <c r="C326" s="185"/>
      <c r="D326" s="185"/>
      <c r="E326" s="186"/>
      <c r="H326" s="184" t="s">
        <v>210</v>
      </c>
      <c r="I326" s="187"/>
      <c r="J326" s="187"/>
      <c r="K326" s="187"/>
      <c r="L326" s="188"/>
    </row>
    <row r="327" spans="1:12">
      <c r="A327" s="145" t="s">
        <v>119</v>
      </c>
      <c r="B327" s="145"/>
      <c r="C327" s="141" t="s">
        <v>127</v>
      </c>
      <c r="D327" s="189"/>
      <c r="E327" s="142"/>
      <c r="H327" s="148" t="s">
        <v>119</v>
      </c>
      <c r="I327" s="149"/>
      <c r="J327" s="141" t="s">
        <v>127</v>
      </c>
      <c r="K327" s="189"/>
      <c r="L327" s="142"/>
    </row>
    <row r="328" spans="1:12">
      <c r="A328" s="145"/>
      <c r="B328" s="145"/>
      <c r="C328" s="141" t="s">
        <v>90</v>
      </c>
      <c r="D328" s="189"/>
      <c r="E328" s="142"/>
      <c r="H328" s="150"/>
      <c r="I328" s="151"/>
      <c r="J328" s="141" t="s">
        <v>90</v>
      </c>
      <c r="K328" s="189"/>
      <c r="L328" s="142"/>
    </row>
    <row r="329" spans="1:12">
      <c r="A329" s="140" t="s">
        <v>120</v>
      </c>
      <c r="B329" s="140"/>
      <c r="C329" s="190">
        <f>K232+SUM(K247:K250)+SUM(K283:K284)+SUM(K305:K306)</f>
        <v>806.87752293024005</v>
      </c>
      <c r="D329" s="190"/>
      <c r="E329" s="190"/>
      <c r="H329" s="141" t="s">
        <v>120</v>
      </c>
      <c r="I329" s="142"/>
      <c r="J329" s="190">
        <f>M124+SUM(M139:M142)+SUM(M175:M177)+SUM(M204:M205)</f>
        <v>1066.3836518564999</v>
      </c>
      <c r="K329" s="190"/>
      <c r="L329" s="190"/>
    </row>
    <row r="330" spans="1:12">
      <c r="A330" s="141" t="s">
        <v>121</v>
      </c>
      <c r="B330" s="142"/>
      <c r="C330" s="165">
        <f>K234+SUM(K252:K255)+SUM(K286:K287)+SUM(K308:K309)</f>
        <v>461.95133600520001</v>
      </c>
      <c r="D330" s="183"/>
      <c r="E330" s="166"/>
      <c r="H330" s="141" t="s">
        <v>121</v>
      </c>
      <c r="I330" s="142"/>
      <c r="J330" s="165">
        <f>M126+SUM(M144:M147)+SUM(M179:M181)+SUM(M207:M208)</f>
        <v>610.9046974053</v>
      </c>
      <c r="K330" s="183"/>
      <c r="L330" s="166"/>
    </row>
    <row r="331" spans="1:12">
      <c r="A331" s="141" t="s">
        <v>122</v>
      </c>
      <c r="B331" s="142"/>
      <c r="C331" s="165">
        <f>K236+SUM(K257:K260)+SUM(K289:K290)+SUM(K311:K312)</f>
        <v>357.38045711927998</v>
      </c>
      <c r="D331" s="183"/>
      <c r="E331" s="166"/>
      <c r="H331" s="141" t="s">
        <v>122</v>
      </c>
      <c r="I331" s="142"/>
      <c r="J331" s="165">
        <f>M128+SUM(M149:M152)+SUM(M183:M185)+SUM(M210:M211)</f>
        <v>472.8208269518999</v>
      </c>
      <c r="K331" s="183"/>
      <c r="L331" s="166"/>
    </row>
    <row r="332" spans="1:12">
      <c r="A332" s="141" t="s">
        <v>123</v>
      </c>
      <c r="B332" s="142"/>
      <c r="C332" s="165">
        <f>K238+SUM(K262:K265)+SUM(K292:K293)+SUM(K314:K315)</f>
        <v>442.09062329040006</v>
      </c>
      <c r="D332" s="183"/>
      <c r="E332" s="166"/>
      <c r="H332" s="141" t="s">
        <v>123</v>
      </c>
      <c r="I332" s="142"/>
      <c r="J332" s="165">
        <f>M130+SUM(M187:M189)+SUM(M213:M214)+SUM(M154:M157)</f>
        <v>584.94339187649996</v>
      </c>
      <c r="K332" s="183"/>
      <c r="L332" s="166"/>
    </row>
    <row r="333" spans="1:12">
      <c r="A333" s="141" t="s">
        <v>124</v>
      </c>
      <c r="B333" s="142"/>
      <c r="C333" s="165">
        <f>K240+SUM(K267:K270)+SUM(K295:K296)+SUM(K317:K318)</f>
        <v>612.02864199024009</v>
      </c>
      <c r="D333" s="183"/>
      <c r="E333" s="166"/>
      <c r="H333" s="141" t="s">
        <v>124</v>
      </c>
      <c r="I333" s="142"/>
      <c r="J333" s="165">
        <f>M132+SUM(M159:M162)+SUM(M191:M193)+SUM(M216:M217)</f>
        <v>814.86805430789991</v>
      </c>
      <c r="K333" s="183"/>
      <c r="L333" s="166"/>
    </row>
    <row r="334" spans="1:12">
      <c r="A334" s="141" t="s">
        <v>125</v>
      </c>
      <c r="B334" s="142"/>
      <c r="C334" s="165">
        <f>K242+SUM(K272:K275)+SUM(K298:K299)+SUM(K320:K321)</f>
        <v>832.78865804255997</v>
      </c>
      <c r="D334" s="183"/>
      <c r="E334" s="166"/>
      <c r="H334" s="141" t="s">
        <v>125</v>
      </c>
      <c r="I334" s="142"/>
      <c r="J334" s="165">
        <f>K242+SUM(K272:K275)+SUM(K298:K299)+SUM(K320:K321)</f>
        <v>832.78865804255997</v>
      </c>
      <c r="K334" s="183"/>
      <c r="L334" s="166"/>
    </row>
    <row r="335" spans="1:12">
      <c r="A335" s="141" t="s">
        <v>126</v>
      </c>
      <c r="B335" s="142"/>
      <c r="C335" s="165">
        <f>K244+SUM(K277:K280)+SUM(K301:K302)+SUM(K323:K324)</f>
        <v>905.60590881120004</v>
      </c>
      <c r="D335" s="183"/>
      <c r="E335" s="166"/>
      <c r="H335" s="141" t="s">
        <v>126</v>
      </c>
      <c r="I335" s="142"/>
      <c r="J335" s="165">
        <f>M136+SUM(M169:M172)+SUM(M199:M201)+SUM(M222:M223)</f>
        <v>1266.1080689636997</v>
      </c>
      <c r="K335" s="183"/>
      <c r="L335" s="166"/>
    </row>
    <row r="339" spans="1:8" ht="18" customHeight="1">
      <c r="A339" s="175" t="s">
        <v>132</v>
      </c>
      <c r="B339" s="175"/>
      <c r="C339" s="175"/>
      <c r="D339" s="175"/>
      <c r="E339" s="175"/>
      <c r="F339" s="175"/>
      <c r="G339" s="175"/>
      <c r="H339" s="175"/>
    </row>
    <row r="340" spans="1:8" ht="15.75" customHeight="1">
      <c r="A340" s="176" t="s">
        <v>119</v>
      </c>
      <c r="B340" s="176"/>
      <c r="C340" s="41" t="s">
        <v>211</v>
      </c>
      <c r="D340" s="41" t="s">
        <v>212</v>
      </c>
      <c r="E340" s="41" t="s">
        <v>213</v>
      </c>
      <c r="F340" s="41" t="s">
        <v>214</v>
      </c>
      <c r="G340" s="174" t="s">
        <v>215</v>
      </c>
      <c r="H340" s="174"/>
    </row>
    <row r="341" spans="1:8">
      <c r="A341" s="176"/>
      <c r="B341" s="176"/>
      <c r="C341" s="41" t="s">
        <v>130</v>
      </c>
      <c r="D341" s="41" t="s">
        <v>131</v>
      </c>
      <c r="E341" s="41" t="s">
        <v>89</v>
      </c>
      <c r="F341" s="41" t="s">
        <v>87</v>
      </c>
      <c r="G341" s="174" t="s">
        <v>90</v>
      </c>
      <c r="H341" s="174"/>
    </row>
    <row r="342" spans="1:8">
      <c r="A342" s="140" t="s">
        <v>120</v>
      </c>
      <c r="B342" s="140"/>
      <c r="C342" s="174">
        <v>1.2</v>
      </c>
      <c r="D342" s="174">
        <v>227</v>
      </c>
      <c r="E342" s="41">
        <v>16</v>
      </c>
      <c r="F342" s="174">
        <v>12</v>
      </c>
      <c r="G342" s="172">
        <f>($C$342*$F$342*E342/1000)*$D$342</f>
        <v>52.300799999999995</v>
      </c>
      <c r="H342" s="172"/>
    </row>
    <row r="343" spans="1:8">
      <c r="A343" s="140" t="s">
        <v>121</v>
      </c>
      <c r="B343" s="140"/>
      <c r="C343" s="174"/>
      <c r="D343" s="174"/>
      <c r="E343" s="41">
        <v>30</v>
      </c>
      <c r="F343" s="174"/>
      <c r="G343" s="172">
        <f t="shared" ref="G343:G348" si="2">($C$342*$F$342*E343/1000)*$D$342</f>
        <v>98.063999999999993</v>
      </c>
      <c r="H343" s="172"/>
    </row>
    <row r="344" spans="1:8">
      <c r="A344" s="140" t="s">
        <v>122</v>
      </c>
      <c r="B344" s="140"/>
      <c r="C344" s="174"/>
      <c r="D344" s="174"/>
      <c r="E344" s="41">
        <v>31</v>
      </c>
      <c r="F344" s="174"/>
      <c r="G344" s="172">
        <f t="shared" si="2"/>
        <v>101.33279999999999</v>
      </c>
      <c r="H344" s="172"/>
    </row>
    <row r="345" spans="1:8">
      <c r="A345" s="140" t="s">
        <v>123</v>
      </c>
      <c r="B345" s="140"/>
      <c r="C345" s="174"/>
      <c r="D345" s="174"/>
      <c r="E345" s="41">
        <v>31</v>
      </c>
      <c r="F345" s="174"/>
      <c r="G345" s="172">
        <f t="shared" si="2"/>
        <v>101.33279999999999</v>
      </c>
      <c r="H345" s="172"/>
    </row>
    <row r="346" spans="1:8">
      <c r="A346" s="140" t="s">
        <v>124</v>
      </c>
      <c r="B346" s="140"/>
      <c r="C346" s="174"/>
      <c r="D346" s="174"/>
      <c r="E346" s="41">
        <v>28</v>
      </c>
      <c r="F346" s="174"/>
      <c r="G346" s="172">
        <f t="shared" si="2"/>
        <v>91.526399999999981</v>
      </c>
      <c r="H346" s="172"/>
    </row>
    <row r="347" spans="1:8">
      <c r="A347" s="140" t="s">
        <v>125</v>
      </c>
      <c r="B347" s="140"/>
      <c r="C347" s="174"/>
      <c r="D347" s="174"/>
      <c r="E347" s="41">
        <v>31</v>
      </c>
      <c r="F347" s="174"/>
      <c r="G347" s="172">
        <f t="shared" si="2"/>
        <v>101.33279999999999</v>
      </c>
      <c r="H347" s="172"/>
    </row>
    <row r="348" spans="1:8">
      <c r="A348" s="140" t="s">
        <v>126</v>
      </c>
      <c r="B348" s="140"/>
      <c r="C348" s="174"/>
      <c r="D348" s="174"/>
      <c r="E348" s="41">
        <v>15</v>
      </c>
      <c r="F348" s="174"/>
      <c r="G348" s="172">
        <f t="shared" si="2"/>
        <v>49.031999999999996</v>
      </c>
      <c r="H348" s="172"/>
    </row>
    <row r="351" spans="1:8">
      <c r="A351" s="175" t="s">
        <v>134</v>
      </c>
      <c r="B351" s="175"/>
      <c r="C351" s="175"/>
      <c r="D351" s="175"/>
      <c r="E351" s="175"/>
      <c r="F351" s="175"/>
      <c r="G351" s="175"/>
      <c r="H351" s="175"/>
    </row>
    <row r="352" spans="1:8" ht="16.5">
      <c r="A352" s="176" t="s">
        <v>119</v>
      </c>
      <c r="B352" s="176"/>
      <c r="C352" s="41" t="s">
        <v>216</v>
      </c>
      <c r="D352" s="41" t="s">
        <v>212</v>
      </c>
      <c r="E352" s="41" t="s">
        <v>213</v>
      </c>
      <c r="F352" s="41" t="s">
        <v>217</v>
      </c>
      <c r="G352" s="174" t="s">
        <v>218</v>
      </c>
      <c r="H352" s="174"/>
    </row>
    <row r="353" spans="1:24">
      <c r="A353" s="176"/>
      <c r="B353" s="176"/>
      <c r="C353" s="41" t="s">
        <v>133</v>
      </c>
      <c r="D353" s="41" t="s">
        <v>131</v>
      </c>
      <c r="E353" s="41" t="s">
        <v>89</v>
      </c>
      <c r="F353" s="41" t="s">
        <v>89</v>
      </c>
      <c r="G353" s="174" t="s">
        <v>90</v>
      </c>
      <c r="H353" s="174"/>
    </row>
    <row r="354" spans="1:24">
      <c r="A354" s="171" t="s">
        <v>120</v>
      </c>
      <c r="B354" s="171"/>
      <c r="C354" s="174">
        <v>20</v>
      </c>
      <c r="D354" s="174">
        <v>227</v>
      </c>
      <c r="E354" s="41">
        <v>16</v>
      </c>
      <c r="F354" s="174">
        <v>365</v>
      </c>
      <c r="G354" s="172">
        <f>$C$354*(E354/$F$354)*$D$354</f>
        <v>199.01369863013699</v>
      </c>
      <c r="H354" s="172"/>
    </row>
    <row r="355" spans="1:24">
      <c r="A355" s="171" t="s">
        <v>121</v>
      </c>
      <c r="B355" s="171"/>
      <c r="C355" s="174"/>
      <c r="D355" s="174"/>
      <c r="E355" s="41">
        <v>30</v>
      </c>
      <c r="F355" s="174"/>
      <c r="G355" s="172">
        <f t="shared" ref="G355:G360" si="3">$C$354*(E355/$F$354)*$D$354</f>
        <v>373.15068493150682</v>
      </c>
      <c r="H355" s="172"/>
    </row>
    <row r="356" spans="1:24">
      <c r="A356" s="171" t="s">
        <v>122</v>
      </c>
      <c r="B356" s="171"/>
      <c r="C356" s="174"/>
      <c r="D356" s="174"/>
      <c r="E356" s="41">
        <v>31</v>
      </c>
      <c r="F356" s="174"/>
      <c r="G356" s="172">
        <f t="shared" si="3"/>
        <v>385.58904109589037</v>
      </c>
      <c r="H356" s="172"/>
    </row>
    <row r="357" spans="1:24">
      <c r="A357" s="171" t="s">
        <v>123</v>
      </c>
      <c r="B357" s="171"/>
      <c r="C357" s="174"/>
      <c r="D357" s="174"/>
      <c r="E357" s="41">
        <v>31</v>
      </c>
      <c r="F357" s="174"/>
      <c r="G357" s="172">
        <f t="shared" si="3"/>
        <v>385.58904109589037</v>
      </c>
      <c r="H357" s="172"/>
    </row>
    <row r="358" spans="1:24">
      <c r="A358" s="171" t="s">
        <v>124</v>
      </c>
      <c r="B358" s="171"/>
      <c r="C358" s="174"/>
      <c r="D358" s="174"/>
      <c r="E358" s="41">
        <v>28</v>
      </c>
      <c r="F358" s="174"/>
      <c r="G358" s="172">
        <f t="shared" si="3"/>
        <v>348.27397260273978</v>
      </c>
      <c r="H358" s="172"/>
    </row>
    <row r="359" spans="1:24">
      <c r="A359" s="171" t="s">
        <v>125</v>
      </c>
      <c r="B359" s="171"/>
      <c r="C359" s="174"/>
      <c r="D359" s="174"/>
      <c r="E359" s="41">
        <v>31</v>
      </c>
      <c r="F359" s="174"/>
      <c r="G359" s="172">
        <f t="shared" si="3"/>
        <v>385.58904109589037</v>
      </c>
      <c r="H359" s="172"/>
    </row>
    <row r="360" spans="1:24">
      <c r="A360" s="171" t="s">
        <v>126</v>
      </c>
      <c r="B360" s="171"/>
      <c r="C360" s="174"/>
      <c r="D360" s="174"/>
      <c r="E360" s="41">
        <v>15</v>
      </c>
      <c r="F360" s="174"/>
      <c r="G360" s="172">
        <f t="shared" si="3"/>
        <v>186.57534246575341</v>
      </c>
      <c r="H360" s="172"/>
    </row>
    <row r="362" spans="1:24">
      <c r="N362" s="145" t="s">
        <v>119</v>
      </c>
      <c r="O362" s="145"/>
      <c r="P362" s="138" t="s">
        <v>219</v>
      </c>
      <c r="Q362" s="138" t="s">
        <v>220</v>
      </c>
      <c r="R362" s="138" t="s">
        <v>221</v>
      </c>
      <c r="S362" s="138" t="s">
        <v>222</v>
      </c>
      <c r="T362" s="138" t="s">
        <v>223</v>
      </c>
      <c r="U362" s="138" t="s">
        <v>224</v>
      </c>
      <c r="V362" s="138" t="s">
        <v>225</v>
      </c>
      <c r="W362" s="138" t="s">
        <v>226</v>
      </c>
      <c r="X362" s="138" t="s">
        <v>227</v>
      </c>
    </row>
    <row r="363" spans="1:24" ht="18" customHeight="1">
      <c r="A363" s="145" t="s">
        <v>119</v>
      </c>
      <c r="B363" s="145"/>
      <c r="C363" s="138" t="s">
        <v>219</v>
      </c>
      <c r="D363" s="138" t="s">
        <v>220</v>
      </c>
      <c r="E363" s="138" t="s">
        <v>221</v>
      </c>
      <c r="F363" s="138" t="s">
        <v>222</v>
      </c>
      <c r="G363" s="138" t="s">
        <v>223</v>
      </c>
      <c r="H363" s="138" t="s">
        <v>224</v>
      </c>
      <c r="I363" s="138" t="s">
        <v>225</v>
      </c>
      <c r="J363" s="138" t="s">
        <v>226</v>
      </c>
      <c r="K363" s="138" t="s">
        <v>227</v>
      </c>
      <c r="N363" s="145"/>
      <c r="O363" s="145"/>
      <c r="P363" s="139"/>
      <c r="Q363" s="139"/>
      <c r="R363" s="139"/>
      <c r="S363" s="139"/>
      <c r="T363" s="139"/>
      <c r="U363" s="139"/>
      <c r="V363" s="139"/>
      <c r="W363" s="139"/>
      <c r="X363" s="139"/>
    </row>
    <row r="364" spans="1:24" ht="15.75" customHeight="1">
      <c r="A364" s="145"/>
      <c r="B364" s="145"/>
      <c r="C364" s="139"/>
      <c r="D364" s="139"/>
      <c r="E364" s="139"/>
      <c r="F364" s="139"/>
      <c r="G364" s="139"/>
      <c r="H364" s="139"/>
      <c r="I364" s="139"/>
      <c r="J364" s="139"/>
      <c r="K364" s="139"/>
      <c r="N364" s="140" t="s">
        <v>120</v>
      </c>
      <c r="O364" s="140"/>
      <c r="P364" s="49">
        <v>2650.1376636</v>
      </c>
      <c r="Q364" s="49">
        <f>D365</f>
        <v>1066.3836518564999</v>
      </c>
      <c r="R364" s="49">
        <v>806.87752293024005</v>
      </c>
      <c r="S364" s="49">
        <f>Q364+R364</f>
        <v>1873.26117478674</v>
      </c>
      <c r="T364" s="49">
        <v>52.300799999999995</v>
      </c>
      <c r="U364" s="49">
        <v>199.01369863013699</v>
      </c>
      <c r="V364" s="49">
        <f>T364+U364</f>
        <v>251.314498630137</v>
      </c>
      <c r="W364" s="49">
        <f>(V364+S364)</f>
        <v>2124.5756734168772</v>
      </c>
      <c r="X364" s="49">
        <f>P364-W364</f>
        <v>525.56199018312282</v>
      </c>
    </row>
    <row r="365" spans="1:24">
      <c r="A365" s="140" t="s">
        <v>120</v>
      </c>
      <c r="B365" s="140"/>
      <c r="C365" s="49">
        <v>2650.1376636</v>
      </c>
      <c r="D365" s="49">
        <f>J329</f>
        <v>1066.3836518564999</v>
      </c>
      <c r="E365" s="49">
        <v>806.87752293024005</v>
      </c>
      <c r="F365" s="49">
        <f>D365+E365</f>
        <v>1873.26117478674</v>
      </c>
      <c r="G365" s="49">
        <v>52.300799999999995</v>
      </c>
      <c r="H365" s="49">
        <v>199.01369863013699</v>
      </c>
      <c r="I365" s="49">
        <f>G365+H365</f>
        <v>251.314498630137</v>
      </c>
      <c r="J365" s="49">
        <f>0.98*(I365+F365)</f>
        <v>2082.0841599485398</v>
      </c>
      <c r="K365" s="49">
        <f>C365-J365</f>
        <v>568.05350365146023</v>
      </c>
      <c r="N365" s="141" t="s">
        <v>121</v>
      </c>
      <c r="O365" s="142"/>
      <c r="P365" s="49">
        <v>9767.6502458399991</v>
      </c>
      <c r="Q365" s="49">
        <f t="shared" ref="Q365:Q370" si="4">D366</f>
        <v>610.9046974053</v>
      </c>
      <c r="R365" s="49">
        <v>461.95133600520001</v>
      </c>
      <c r="S365" s="49">
        <f t="shared" ref="S365:S370" si="5">Q365+R365</f>
        <v>1072.8560334105</v>
      </c>
      <c r="T365" s="49">
        <v>98.063999999999993</v>
      </c>
      <c r="U365" s="49">
        <v>373.15068493150682</v>
      </c>
      <c r="V365" s="49">
        <f t="shared" ref="V365:V370" si="6">T365+U365</f>
        <v>471.21468493150678</v>
      </c>
      <c r="W365" s="49">
        <f t="shared" ref="W365:W370" si="7">(V365+S365)</f>
        <v>1544.0707183420068</v>
      </c>
      <c r="X365" s="49">
        <f t="shared" ref="X365:X370" si="8">P365-W365</f>
        <v>8223.5795274979919</v>
      </c>
    </row>
    <row r="366" spans="1:24">
      <c r="A366" s="141" t="s">
        <v>121</v>
      </c>
      <c r="B366" s="142"/>
      <c r="C366" s="49">
        <v>9767.6502458399991</v>
      </c>
      <c r="D366" s="49">
        <f t="shared" ref="D366:D371" si="9">J330</f>
        <v>610.9046974053</v>
      </c>
      <c r="E366" s="49">
        <v>461.95133600520001</v>
      </c>
      <c r="F366" s="49">
        <f t="shared" ref="F366:F371" si="10">D366+E366</f>
        <v>1072.8560334105</v>
      </c>
      <c r="G366" s="49">
        <v>98.063999999999993</v>
      </c>
      <c r="H366" s="49">
        <v>373.15068493150682</v>
      </c>
      <c r="I366" s="49">
        <f t="shared" ref="I366:I371" si="11">G366+H366</f>
        <v>471.21468493150678</v>
      </c>
      <c r="J366" s="49">
        <f t="shared" ref="J366:J371" si="12">0.98*(I366+F366)</f>
        <v>1513.1893039751667</v>
      </c>
      <c r="K366" s="49">
        <f t="shared" ref="K366:K371" si="13">C366-J366</f>
        <v>8254.4609418648324</v>
      </c>
      <c r="N366" s="141" t="s">
        <v>122</v>
      </c>
      <c r="O366" s="142"/>
      <c r="P366" s="49">
        <v>13906.912882319999</v>
      </c>
      <c r="Q366" s="49">
        <f t="shared" si="4"/>
        <v>472.8208269518999</v>
      </c>
      <c r="R366" s="49">
        <v>357.38045711927998</v>
      </c>
      <c r="S366" s="49">
        <f t="shared" si="5"/>
        <v>830.20128407117988</v>
      </c>
      <c r="T366" s="49">
        <v>101.33279999999999</v>
      </c>
      <c r="U366" s="49">
        <v>385.58904109589037</v>
      </c>
      <c r="V366" s="49">
        <f t="shared" si="6"/>
        <v>486.92184109589039</v>
      </c>
      <c r="W366" s="49">
        <f t="shared" si="7"/>
        <v>1317.1231251670702</v>
      </c>
      <c r="X366" s="49">
        <f t="shared" si="8"/>
        <v>12589.789757152928</v>
      </c>
    </row>
    <row r="367" spans="1:24">
      <c r="A367" s="141" t="s">
        <v>122</v>
      </c>
      <c r="B367" s="142"/>
      <c r="C367" s="49">
        <v>13906.912882319999</v>
      </c>
      <c r="D367" s="49">
        <f t="shared" si="9"/>
        <v>472.8208269518999</v>
      </c>
      <c r="E367" s="49">
        <v>357.38045711927998</v>
      </c>
      <c r="F367" s="49">
        <f t="shared" si="10"/>
        <v>830.20128407117988</v>
      </c>
      <c r="G367" s="49">
        <v>101.33279999999999</v>
      </c>
      <c r="H367" s="49">
        <v>385.58904109589037</v>
      </c>
      <c r="I367" s="49">
        <f t="shared" si="11"/>
        <v>486.92184109589039</v>
      </c>
      <c r="J367" s="49">
        <f t="shared" si="12"/>
        <v>1290.7806626637287</v>
      </c>
      <c r="K367" s="49">
        <f t="shared" si="13"/>
        <v>12616.132219656271</v>
      </c>
      <c r="N367" s="141" t="s">
        <v>123</v>
      </c>
      <c r="O367" s="142"/>
      <c r="P367" s="49">
        <v>15320.319636239999</v>
      </c>
      <c r="Q367" s="49">
        <f t="shared" si="4"/>
        <v>584.94339187649996</v>
      </c>
      <c r="R367" s="49">
        <v>442.09062329040006</v>
      </c>
      <c r="S367" s="49">
        <f t="shared" si="5"/>
        <v>1027.0340151669</v>
      </c>
      <c r="T367" s="49">
        <v>101.33279999999999</v>
      </c>
      <c r="U367" s="49">
        <v>385.58904109589037</v>
      </c>
      <c r="V367" s="49">
        <f t="shared" si="6"/>
        <v>486.92184109589039</v>
      </c>
      <c r="W367" s="49">
        <f t="shared" si="7"/>
        <v>1513.9558562627903</v>
      </c>
      <c r="X367" s="49">
        <f t="shared" si="8"/>
        <v>13806.36377997721</v>
      </c>
    </row>
    <row r="368" spans="1:24">
      <c r="A368" s="141" t="s">
        <v>123</v>
      </c>
      <c r="B368" s="142"/>
      <c r="C368" s="49">
        <v>15320.319636239999</v>
      </c>
      <c r="D368" s="49">
        <f t="shared" si="9"/>
        <v>584.94339187649996</v>
      </c>
      <c r="E368" s="49">
        <v>442.09062329040006</v>
      </c>
      <c r="F368" s="49">
        <f t="shared" si="10"/>
        <v>1027.0340151669</v>
      </c>
      <c r="G368" s="49">
        <v>101.33279999999999</v>
      </c>
      <c r="H368" s="49">
        <v>385.58904109589037</v>
      </c>
      <c r="I368" s="49">
        <f t="shared" si="11"/>
        <v>486.92184109589039</v>
      </c>
      <c r="J368" s="49">
        <f t="shared" si="12"/>
        <v>1483.6767391375345</v>
      </c>
      <c r="K368" s="49">
        <f t="shared" si="13"/>
        <v>13836.642897102465</v>
      </c>
      <c r="N368" s="141" t="s">
        <v>124</v>
      </c>
      <c r="O368" s="142"/>
      <c r="P368" s="49">
        <v>11988.718002</v>
      </c>
      <c r="Q368" s="49">
        <f t="shared" si="4"/>
        <v>814.86805430789991</v>
      </c>
      <c r="R368" s="49">
        <v>612.02864199024009</v>
      </c>
      <c r="S368" s="49">
        <f t="shared" si="5"/>
        <v>1426.8966962981399</v>
      </c>
      <c r="T368" s="49">
        <v>91.526399999999981</v>
      </c>
      <c r="U368" s="49">
        <v>348.27397260273978</v>
      </c>
      <c r="V368" s="49">
        <f t="shared" si="6"/>
        <v>439.80037260273974</v>
      </c>
      <c r="W368" s="49">
        <f t="shared" si="7"/>
        <v>1866.6970689008797</v>
      </c>
      <c r="X368" s="49">
        <f t="shared" si="8"/>
        <v>10122.02093309912</v>
      </c>
    </row>
    <row r="369" spans="1:24">
      <c r="A369" s="141" t="s">
        <v>124</v>
      </c>
      <c r="B369" s="142"/>
      <c r="C369" s="49">
        <v>11988.718002</v>
      </c>
      <c r="D369" s="49">
        <f t="shared" si="9"/>
        <v>814.86805430789991</v>
      </c>
      <c r="E369" s="49">
        <v>612.02864199024009</v>
      </c>
      <c r="F369" s="49">
        <f t="shared" si="10"/>
        <v>1426.8966962981399</v>
      </c>
      <c r="G369" s="49">
        <v>91.526399999999981</v>
      </c>
      <c r="H369" s="49">
        <v>348.27397260273978</v>
      </c>
      <c r="I369" s="49">
        <f t="shared" si="11"/>
        <v>439.80037260273974</v>
      </c>
      <c r="J369" s="49">
        <f t="shared" si="12"/>
        <v>1829.363127522862</v>
      </c>
      <c r="K369" s="49">
        <f t="shared" si="13"/>
        <v>10159.354874477138</v>
      </c>
      <c r="N369" s="141" t="s">
        <v>125</v>
      </c>
      <c r="O369" s="142"/>
      <c r="P369" s="49">
        <v>9691.9320268800002</v>
      </c>
      <c r="Q369" s="49">
        <f t="shared" si="4"/>
        <v>832.78865804255997</v>
      </c>
      <c r="R369" s="49">
        <v>832.78865804255997</v>
      </c>
      <c r="S369" s="49">
        <f t="shared" si="5"/>
        <v>1665.5773160851199</v>
      </c>
      <c r="T369" s="49">
        <v>101.33279999999999</v>
      </c>
      <c r="U369" s="49">
        <v>385.58904109589037</v>
      </c>
      <c r="V369" s="49">
        <f t="shared" si="6"/>
        <v>486.92184109589039</v>
      </c>
      <c r="W369" s="49">
        <f t="shared" si="7"/>
        <v>2152.4991571810106</v>
      </c>
      <c r="X369" s="49">
        <f t="shared" si="8"/>
        <v>7539.4328696989896</v>
      </c>
    </row>
    <row r="370" spans="1:24">
      <c r="A370" s="141" t="s">
        <v>125</v>
      </c>
      <c r="B370" s="142"/>
      <c r="C370" s="49">
        <v>9691.9320268800002</v>
      </c>
      <c r="D370" s="49">
        <f t="shared" si="9"/>
        <v>832.78865804255997</v>
      </c>
      <c r="E370" s="49">
        <v>832.78865804255997</v>
      </c>
      <c r="F370" s="49">
        <f t="shared" si="10"/>
        <v>1665.5773160851199</v>
      </c>
      <c r="G370" s="49">
        <v>101.33279999999999</v>
      </c>
      <c r="H370" s="49">
        <v>385.58904109589037</v>
      </c>
      <c r="I370" s="49">
        <f t="shared" si="11"/>
        <v>486.92184109589039</v>
      </c>
      <c r="J370" s="49">
        <f t="shared" si="12"/>
        <v>2109.4491740373901</v>
      </c>
      <c r="K370" s="49">
        <f t="shared" si="13"/>
        <v>7582.4828528426096</v>
      </c>
      <c r="N370" s="141" t="s">
        <v>126</v>
      </c>
      <c r="O370" s="142"/>
      <c r="P370" s="49">
        <v>2675.3770699199999</v>
      </c>
      <c r="Q370" s="49">
        <f t="shared" si="4"/>
        <v>1266.1080689636997</v>
      </c>
      <c r="R370" s="49">
        <v>905.60590881120004</v>
      </c>
      <c r="S370" s="49">
        <f t="shared" si="5"/>
        <v>2171.7139777748998</v>
      </c>
      <c r="T370" s="49">
        <v>49.031999999999996</v>
      </c>
      <c r="U370" s="49">
        <v>186.57534246575341</v>
      </c>
      <c r="V370" s="49">
        <f t="shared" si="6"/>
        <v>235.60734246575339</v>
      </c>
      <c r="W370" s="49">
        <f t="shared" si="7"/>
        <v>2407.3213202406532</v>
      </c>
      <c r="X370" s="49">
        <f t="shared" si="8"/>
        <v>268.05574967934672</v>
      </c>
    </row>
    <row r="371" spans="1:24">
      <c r="A371" s="141" t="s">
        <v>126</v>
      </c>
      <c r="B371" s="142"/>
      <c r="C371" s="49">
        <v>2675.3770699199999</v>
      </c>
      <c r="D371" s="49">
        <f t="shared" si="9"/>
        <v>1266.1080689636997</v>
      </c>
      <c r="E371" s="49">
        <v>905.60590881120004</v>
      </c>
      <c r="F371" s="49">
        <f t="shared" si="10"/>
        <v>2171.7139777748998</v>
      </c>
      <c r="G371" s="49">
        <v>49.031999999999996</v>
      </c>
      <c r="H371" s="49">
        <v>186.57534246575341</v>
      </c>
      <c r="I371" s="49">
        <f t="shared" si="11"/>
        <v>235.60734246575339</v>
      </c>
      <c r="J371" s="49">
        <f t="shared" si="12"/>
        <v>2359.1748938358401</v>
      </c>
      <c r="K371" s="49">
        <f t="shared" si="13"/>
        <v>316.20217608415987</v>
      </c>
    </row>
    <row r="372" spans="1:24">
      <c r="K372" s="50">
        <f>SUM(K365:K371)</f>
        <v>53333.329465678937</v>
      </c>
    </row>
    <row r="374" spans="1:24" ht="16.5">
      <c r="A374" s="167" t="s">
        <v>119</v>
      </c>
      <c r="B374" s="168"/>
      <c r="C374" s="141" t="s">
        <v>228</v>
      </c>
      <c r="D374" s="142"/>
    </row>
    <row r="375" spans="1:24" ht="18">
      <c r="A375" s="169"/>
      <c r="B375" s="170"/>
      <c r="C375" s="141" t="s">
        <v>208</v>
      </c>
      <c r="D375" s="142"/>
    </row>
    <row r="376" spans="1:24">
      <c r="A376" s="141" t="s">
        <v>120</v>
      </c>
      <c r="B376" s="142"/>
      <c r="C376" s="165">
        <f t="shared" ref="C376:C381" si="14">K365/227</f>
        <v>2.5024383420769172</v>
      </c>
      <c r="D376" s="166"/>
    </row>
    <row r="377" spans="1:24">
      <c r="A377" s="141" t="s">
        <v>121</v>
      </c>
      <c r="B377" s="142"/>
      <c r="C377" s="165">
        <f t="shared" si="14"/>
        <v>36.36326406107856</v>
      </c>
      <c r="D377" s="166"/>
    </row>
    <row r="378" spans="1:24">
      <c r="A378" s="141" t="s">
        <v>122</v>
      </c>
      <c r="B378" s="142"/>
      <c r="C378" s="165">
        <f t="shared" si="14"/>
        <v>55.577674976459342</v>
      </c>
      <c r="D378" s="166"/>
    </row>
    <row r="379" spans="1:24">
      <c r="A379" s="141" t="s">
        <v>123</v>
      </c>
      <c r="B379" s="142"/>
      <c r="C379" s="165">
        <f t="shared" si="14"/>
        <v>60.954373996046101</v>
      </c>
      <c r="D379" s="166"/>
    </row>
    <row r="380" spans="1:24">
      <c r="A380" s="141" t="s">
        <v>124</v>
      </c>
      <c r="B380" s="142"/>
      <c r="C380" s="165">
        <f t="shared" si="14"/>
        <v>44.754867288445539</v>
      </c>
      <c r="D380" s="166"/>
    </row>
    <row r="381" spans="1:24">
      <c r="A381" s="141" t="s">
        <v>125</v>
      </c>
      <c r="B381" s="142"/>
      <c r="C381" s="165">
        <f t="shared" si="14"/>
        <v>33.403008162302243</v>
      </c>
      <c r="D381" s="166"/>
    </row>
    <row r="382" spans="1:24">
      <c r="A382" s="141" t="s">
        <v>126</v>
      </c>
      <c r="B382" s="142"/>
      <c r="C382" s="165">
        <f t="shared" ref="C382" si="15">K371/227</f>
        <v>1.3929611281240524</v>
      </c>
      <c r="D382" s="166"/>
    </row>
    <row r="383" spans="1:24">
      <c r="A383" s="141" t="s">
        <v>135</v>
      </c>
      <c r="B383" s="142"/>
      <c r="C383" s="165">
        <f>SUM(C376:D382)</f>
        <v>234.94858795453274</v>
      </c>
      <c r="D383" s="166"/>
    </row>
    <row r="397" spans="1:11">
      <c r="A397" s="262"/>
      <c r="B397" s="262"/>
      <c r="C397" s="261"/>
      <c r="D397" s="261"/>
      <c r="E397" s="51"/>
      <c r="F397" s="51"/>
      <c r="G397" s="51"/>
      <c r="H397" s="51"/>
      <c r="I397" s="51"/>
      <c r="J397" s="51"/>
      <c r="K397" s="51"/>
    </row>
    <row r="398" spans="1:11">
      <c r="A398" s="262"/>
      <c r="B398" s="262"/>
      <c r="C398" s="261"/>
      <c r="D398" s="261"/>
      <c r="E398" s="51"/>
      <c r="F398" s="51"/>
      <c r="G398" s="51"/>
      <c r="H398" s="51"/>
      <c r="I398" s="51"/>
      <c r="J398" s="51"/>
      <c r="K398" s="51"/>
    </row>
    <row r="399" spans="1:11">
      <c r="A399" s="261"/>
      <c r="B399" s="261"/>
      <c r="C399" s="261"/>
      <c r="D399" s="261"/>
      <c r="E399" s="51"/>
      <c r="F399" s="51"/>
      <c r="G399" s="51"/>
      <c r="H399" s="51"/>
      <c r="I399" s="51"/>
      <c r="J399" s="51"/>
      <c r="K399" s="51"/>
    </row>
    <row r="400" spans="1:11">
      <c r="A400" s="261"/>
      <c r="B400" s="261"/>
      <c r="C400" s="261"/>
      <c r="D400" s="261"/>
      <c r="E400" s="51"/>
      <c r="F400" s="51"/>
      <c r="G400" s="51"/>
      <c r="H400" s="51"/>
      <c r="I400" s="51"/>
      <c r="J400" s="51"/>
      <c r="K400" s="51"/>
    </row>
    <row r="401" spans="1:14">
      <c r="A401" s="261"/>
      <c r="B401" s="261"/>
      <c r="C401" s="261"/>
      <c r="D401" s="261"/>
      <c r="E401" s="51"/>
      <c r="F401" s="51"/>
      <c r="G401" s="51"/>
      <c r="H401" s="51"/>
      <c r="I401" s="51"/>
      <c r="J401" s="51"/>
      <c r="K401" s="51"/>
    </row>
    <row r="402" spans="1:14">
      <c r="A402" s="261"/>
      <c r="B402" s="261"/>
      <c r="C402" s="261"/>
      <c r="D402" s="261"/>
      <c r="E402" s="51"/>
      <c r="F402" s="51"/>
      <c r="G402" s="51"/>
      <c r="H402" s="51"/>
      <c r="I402" s="51"/>
      <c r="J402" s="51"/>
      <c r="K402" s="51"/>
    </row>
    <row r="403" spans="1:14">
      <c r="A403" s="261"/>
      <c r="B403" s="261"/>
      <c r="C403" s="261"/>
      <c r="D403" s="261"/>
      <c r="E403" s="51"/>
      <c r="F403" s="51"/>
      <c r="G403" s="51"/>
      <c r="H403" s="51"/>
      <c r="I403" s="51"/>
      <c r="J403" s="51"/>
      <c r="K403" s="51"/>
    </row>
    <row r="404" spans="1:14">
      <c r="A404" s="261"/>
      <c r="B404" s="261"/>
      <c r="C404" s="261"/>
      <c r="D404" s="261"/>
      <c r="E404" s="51"/>
      <c r="F404" s="51"/>
      <c r="G404" s="51"/>
      <c r="H404" s="51"/>
      <c r="I404" s="51"/>
      <c r="J404" s="51"/>
      <c r="K404" s="51"/>
    </row>
    <row r="405" spans="1:14">
      <c r="A405" s="261"/>
      <c r="B405" s="261"/>
      <c r="C405" s="261"/>
      <c r="D405" s="261"/>
      <c r="E405" s="51"/>
      <c r="F405" s="51"/>
      <c r="G405" s="51"/>
      <c r="H405" s="51"/>
      <c r="I405" s="51"/>
      <c r="J405" s="51"/>
      <c r="K405" s="51"/>
    </row>
    <row r="408" spans="1:14" ht="15.75" thickBot="1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</row>
    <row r="409" spans="1:14">
      <c r="A409" s="258" t="s">
        <v>136</v>
      </c>
      <c r="B409" s="200"/>
      <c r="C409" s="201"/>
      <c r="D409" s="52"/>
      <c r="E409" s="9"/>
      <c r="F409" s="9"/>
      <c r="G409" s="9"/>
      <c r="H409" s="9"/>
      <c r="I409" s="9"/>
      <c r="J409" s="9"/>
      <c r="K409" s="9"/>
      <c r="L409" s="9"/>
      <c r="M409" s="9"/>
      <c r="N409" s="9"/>
    </row>
    <row r="410" spans="1:14" ht="17.25" thickBot="1">
      <c r="A410" s="17" t="s">
        <v>229</v>
      </c>
      <c r="B410" s="259">
        <f>SUM(I365:I371)+SUM(F365:F371)</f>
        <v>12926.242919511289</v>
      </c>
      <c r="C410" s="260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</row>
    <row r="411" spans="1:14" ht="15.75" thickBot="1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</row>
    <row r="412" spans="1:14">
      <c r="A412" s="258" t="s">
        <v>137</v>
      </c>
      <c r="B412" s="200"/>
      <c r="C412" s="200"/>
      <c r="D412" s="201"/>
      <c r="E412" s="9"/>
      <c r="F412" s="9"/>
      <c r="G412" s="9"/>
      <c r="H412" s="9"/>
      <c r="I412" s="9"/>
      <c r="J412" s="9"/>
      <c r="K412" s="9"/>
      <c r="L412" s="9"/>
      <c r="M412" s="9"/>
      <c r="N412" s="9"/>
    </row>
    <row r="413" spans="1:14" ht="16.5">
      <c r="A413" s="15" t="s">
        <v>230</v>
      </c>
      <c r="B413" s="143">
        <v>0.98</v>
      </c>
      <c r="C413" s="202"/>
      <c r="D413" s="203"/>
      <c r="E413" s="9"/>
      <c r="F413" s="9"/>
      <c r="G413" s="9"/>
      <c r="H413" s="9"/>
      <c r="I413" s="9"/>
      <c r="J413" s="9"/>
      <c r="K413" s="9"/>
      <c r="L413" s="9"/>
      <c r="M413" s="9"/>
      <c r="N413" s="9"/>
    </row>
    <row r="414" spans="1:14" ht="17.25" thickBot="1">
      <c r="A414" s="17" t="s">
        <v>231</v>
      </c>
      <c r="B414" s="222">
        <f>K372</f>
        <v>53333.329465678937</v>
      </c>
      <c r="C414" s="265"/>
      <c r="D414" s="223"/>
      <c r="E414" s="9"/>
      <c r="F414" s="9"/>
      <c r="G414" s="9">
        <f>B414/227</f>
        <v>234.94858795453277</v>
      </c>
      <c r="H414" s="9"/>
      <c r="I414" s="9"/>
      <c r="J414" s="9"/>
      <c r="K414" s="9"/>
      <c r="L414" s="9"/>
      <c r="M414" s="9"/>
      <c r="N414" s="9"/>
    </row>
    <row r="415" spans="1:14" ht="15.75" thickBot="1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</row>
    <row r="416" spans="1:14">
      <c r="A416" s="258" t="s">
        <v>138</v>
      </c>
      <c r="B416" s="200"/>
      <c r="C416" s="200"/>
      <c r="D416" s="200"/>
      <c r="E416" s="200"/>
      <c r="F416" s="201"/>
      <c r="G416" s="9"/>
      <c r="H416" s="9"/>
      <c r="I416" s="9"/>
      <c r="J416" s="9"/>
      <c r="K416" s="9"/>
      <c r="L416" s="9"/>
      <c r="M416" s="9"/>
      <c r="N416" s="9"/>
    </row>
    <row r="417" spans="1:16" ht="33.75" customHeight="1">
      <c r="A417" s="15" t="s">
        <v>232</v>
      </c>
      <c r="B417" s="6">
        <v>0.68</v>
      </c>
      <c r="C417" s="204" t="s">
        <v>142</v>
      </c>
      <c r="D417" s="205"/>
      <c r="E417" s="205"/>
      <c r="F417" s="206"/>
      <c r="G417" s="9"/>
      <c r="H417" s="9"/>
      <c r="I417" s="9"/>
      <c r="J417" s="9"/>
      <c r="K417" s="9"/>
      <c r="L417" s="9"/>
      <c r="M417" s="9"/>
      <c r="N417" s="9"/>
    </row>
    <row r="418" spans="1:16" ht="16.5">
      <c r="A418" s="15" t="s">
        <v>233</v>
      </c>
      <c r="B418" s="6">
        <v>0.98</v>
      </c>
      <c r="C418" s="143" t="s">
        <v>139</v>
      </c>
      <c r="D418" s="202"/>
      <c r="E418" s="202"/>
      <c r="F418" s="203"/>
      <c r="G418" s="9"/>
      <c r="H418" s="9"/>
      <c r="I418" s="9"/>
      <c r="J418" s="9"/>
      <c r="K418" s="9"/>
      <c r="L418" s="9"/>
      <c r="M418" s="9"/>
      <c r="N418" s="9"/>
    </row>
    <row r="419" spans="1:16" ht="16.5">
      <c r="A419" s="15" t="s">
        <v>234</v>
      </c>
      <c r="B419" s="6">
        <v>0.95</v>
      </c>
      <c r="C419" s="143" t="s">
        <v>141</v>
      </c>
      <c r="D419" s="202"/>
      <c r="E419" s="202"/>
      <c r="F419" s="203"/>
      <c r="G419" s="9"/>
      <c r="H419" s="9"/>
      <c r="I419" s="9"/>
      <c r="J419" s="9"/>
      <c r="K419" s="9"/>
      <c r="L419" s="9"/>
      <c r="M419" s="9"/>
      <c r="N419" s="9"/>
    </row>
    <row r="420" spans="1:16" ht="15.75" thickBot="1">
      <c r="A420" s="15" t="s">
        <v>140</v>
      </c>
      <c r="B420" s="16">
        <f>B417*B418*B419</f>
        <v>0.63307999999999998</v>
      </c>
      <c r="C420" s="143"/>
      <c r="D420" s="202"/>
      <c r="E420" s="202"/>
      <c r="F420" s="203"/>
      <c r="G420" s="9"/>
      <c r="H420" s="9"/>
      <c r="I420" s="9"/>
      <c r="J420" s="9"/>
      <c r="K420" s="9"/>
      <c r="L420" s="9"/>
      <c r="M420" s="9"/>
      <c r="N420" s="9"/>
    </row>
    <row r="421" spans="1:16" ht="19.5" customHeight="1" thickBot="1">
      <c r="A421" s="17" t="s">
        <v>235</v>
      </c>
      <c r="B421" s="18">
        <f>B414*((1/B420)-1)</f>
        <v>30910.888430446255</v>
      </c>
      <c r="C421" s="46"/>
      <c r="D421" s="46"/>
      <c r="E421" s="46"/>
      <c r="F421" s="53" t="s">
        <v>236</v>
      </c>
      <c r="G421" s="54"/>
      <c r="H421" s="55">
        <f>B421/B17</f>
        <v>136.17131467156941</v>
      </c>
      <c r="I421" s="9"/>
      <c r="J421" s="9"/>
      <c r="K421" s="9"/>
      <c r="L421" s="9"/>
      <c r="M421" s="9"/>
      <c r="N421" s="9"/>
    </row>
    <row r="422" spans="1:16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</row>
    <row r="423" spans="1:16" ht="15.75" thickBot="1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</row>
    <row r="424" spans="1:16" ht="15.75" thickBot="1">
      <c r="A424" s="191" t="s">
        <v>143</v>
      </c>
      <c r="B424" s="192"/>
      <c r="C424" s="193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</row>
    <row r="425" spans="1:16" ht="17.25" thickBot="1">
      <c r="A425" s="56" t="s">
        <v>237</v>
      </c>
      <c r="B425" s="267">
        <f>B414+B421</f>
        <v>84244.217896125192</v>
      </c>
      <c r="C425" s="268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</row>
    <row r="426" spans="1:16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</row>
    <row r="427" spans="1:16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</row>
    <row r="428" spans="1:16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</row>
    <row r="429" spans="1:16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</row>
    <row r="430" spans="1:16" ht="60" customHeight="1">
      <c r="A430" s="57" t="s">
        <v>144</v>
      </c>
      <c r="B430" s="57" t="s">
        <v>145</v>
      </c>
      <c r="C430" s="263" t="s">
        <v>146</v>
      </c>
      <c r="D430" s="263"/>
      <c r="E430" s="263"/>
      <c r="F430" s="263" t="s">
        <v>147</v>
      </c>
      <c r="G430" s="263"/>
      <c r="H430" s="263" t="s">
        <v>148</v>
      </c>
      <c r="I430" s="263"/>
      <c r="J430" s="57" t="s">
        <v>149</v>
      </c>
      <c r="K430" s="263" t="s">
        <v>150</v>
      </c>
      <c r="L430" s="263"/>
      <c r="M430" s="263" t="s">
        <v>151</v>
      </c>
      <c r="N430" s="263"/>
    </row>
    <row r="431" spans="1:16" ht="16.5">
      <c r="A431" s="15" t="s">
        <v>2</v>
      </c>
      <c r="B431" s="6" t="s">
        <v>98</v>
      </c>
      <c r="C431" s="143" t="s">
        <v>238</v>
      </c>
      <c r="D431" s="202"/>
      <c r="E431" s="144"/>
      <c r="F431" s="143" t="s">
        <v>239</v>
      </c>
      <c r="G431" s="144"/>
      <c r="H431" s="143" t="s">
        <v>240</v>
      </c>
      <c r="I431" s="144"/>
      <c r="J431" s="6" t="s">
        <v>241</v>
      </c>
      <c r="K431" s="143" t="s">
        <v>242</v>
      </c>
      <c r="L431" s="144"/>
      <c r="M431" s="235" t="s">
        <v>243</v>
      </c>
      <c r="N431" s="235"/>
    </row>
    <row r="432" spans="1:16" ht="18" customHeight="1">
      <c r="A432" s="15"/>
      <c r="B432" s="6" t="s">
        <v>244</v>
      </c>
      <c r="C432" s="143" t="s">
        <v>245</v>
      </c>
      <c r="D432" s="202"/>
      <c r="E432" s="144"/>
      <c r="F432" s="143" t="s">
        <v>152</v>
      </c>
      <c r="G432" s="144"/>
      <c r="H432" s="143" t="s">
        <v>152</v>
      </c>
      <c r="I432" s="144"/>
      <c r="J432" s="6" t="s">
        <v>152</v>
      </c>
      <c r="K432" s="143" t="s">
        <v>246</v>
      </c>
      <c r="L432" s="144"/>
      <c r="M432" s="235" t="s">
        <v>247</v>
      </c>
      <c r="N432" s="235"/>
      <c r="P432" s="10">
        <f>H433/227</f>
        <v>0.49041095890410963</v>
      </c>
    </row>
    <row r="433" spans="1:15" ht="15.75" thickBot="1">
      <c r="A433" s="17">
        <v>179</v>
      </c>
      <c r="B433" s="46">
        <v>227</v>
      </c>
      <c r="C433" s="247">
        <v>10</v>
      </c>
      <c r="D433" s="248"/>
      <c r="E433" s="269"/>
      <c r="F433" s="259">
        <f>A433*B433*C433/365</f>
        <v>1113.2328767123288</v>
      </c>
      <c r="G433" s="270"/>
      <c r="H433" s="259">
        <f>0.1*F433</f>
        <v>111.32328767123289</v>
      </c>
      <c r="I433" s="270"/>
      <c r="J433" s="18">
        <f>F433+H433</f>
        <v>1224.5561643835617</v>
      </c>
      <c r="K433" s="222">
        <f>J433/B433</f>
        <v>5.3945205479452056</v>
      </c>
      <c r="L433" s="266"/>
      <c r="M433" s="264">
        <f>F433/B433</f>
        <v>4.904109589041096</v>
      </c>
      <c r="N433" s="264"/>
    </row>
    <row r="434" spans="1:15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</row>
    <row r="435" spans="1:15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</row>
    <row r="436" spans="1:15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</row>
    <row r="437" spans="1:15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50"/>
    </row>
    <row r="438" spans="1:15">
      <c r="A438" s="271" t="s">
        <v>153</v>
      </c>
      <c r="B438" s="272"/>
      <c r="C438" s="272"/>
      <c r="D438" s="272"/>
      <c r="E438" s="272"/>
      <c r="F438" s="272"/>
      <c r="G438" s="272"/>
      <c r="H438" s="272"/>
      <c r="I438" s="272"/>
      <c r="J438" s="272"/>
      <c r="K438" s="272"/>
      <c r="L438" s="272"/>
      <c r="M438" s="272"/>
      <c r="N438" s="273"/>
    </row>
    <row r="439" spans="1:15" ht="104.25" customHeight="1">
      <c r="A439" s="101" t="s">
        <v>154</v>
      </c>
      <c r="B439" s="101" t="s">
        <v>155</v>
      </c>
      <c r="C439" s="101" t="s">
        <v>156</v>
      </c>
      <c r="D439" s="101" t="s">
        <v>157</v>
      </c>
      <c r="E439" s="101" t="s">
        <v>158</v>
      </c>
      <c r="F439" s="101" t="s">
        <v>159</v>
      </c>
      <c r="G439" s="101" t="s">
        <v>160</v>
      </c>
      <c r="H439" s="101" t="s">
        <v>161</v>
      </c>
      <c r="I439" s="101" t="s">
        <v>162</v>
      </c>
      <c r="J439" s="101" t="s">
        <v>164</v>
      </c>
      <c r="K439" s="101" t="s">
        <v>165</v>
      </c>
      <c r="L439" s="101" t="s">
        <v>166</v>
      </c>
      <c r="M439" s="101" t="s">
        <v>286</v>
      </c>
      <c r="N439" s="104" t="s">
        <v>287</v>
      </c>
    </row>
    <row r="440" spans="1:15" ht="16.5">
      <c r="A440" s="6" t="s">
        <v>85</v>
      </c>
      <c r="B440" s="6" t="s">
        <v>87</v>
      </c>
      <c r="C440" s="6" t="s">
        <v>163</v>
      </c>
      <c r="D440" s="6" t="s">
        <v>248</v>
      </c>
      <c r="E440" s="6" t="s">
        <v>218</v>
      </c>
      <c r="F440" s="6" t="s">
        <v>249</v>
      </c>
      <c r="G440" s="6" t="s">
        <v>250</v>
      </c>
      <c r="H440" s="6" t="s">
        <v>251</v>
      </c>
      <c r="I440" s="6" t="s">
        <v>252</v>
      </c>
      <c r="J440" s="6" t="s">
        <v>253</v>
      </c>
      <c r="K440" s="6" t="s">
        <v>212</v>
      </c>
      <c r="L440" s="6" t="s">
        <v>254</v>
      </c>
      <c r="M440" s="103" t="s">
        <v>285</v>
      </c>
      <c r="N440" s="103" t="s">
        <v>288</v>
      </c>
    </row>
    <row r="441" spans="1:15" ht="18">
      <c r="A441" s="6" t="s">
        <v>89</v>
      </c>
      <c r="B441" s="6" t="s">
        <v>87</v>
      </c>
      <c r="C441" s="6" t="s">
        <v>167</v>
      </c>
      <c r="D441" s="6" t="s">
        <v>168</v>
      </c>
      <c r="E441" s="6" t="s">
        <v>168</v>
      </c>
      <c r="F441" s="6" t="s">
        <v>168</v>
      </c>
      <c r="G441" s="6" t="s">
        <v>168</v>
      </c>
      <c r="H441" s="6" t="s">
        <v>89</v>
      </c>
      <c r="I441" s="6" t="s">
        <v>89</v>
      </c>
      <c r="J441" s="6" t="s">
        <v>168</v>
      </c>
      <c r="K441" s="6" t="s">
        <v>207</v>
      </c>
      <c r="L441" s="6" t="s">
        <v>247</v>
      </c>
      <c r="M441" s="103" t="s">
        <v>152</v>
      </c>
      <c r="N441" s="103" t="s">
        <v>152</v>
      </c>
    </row>
    <row r="442" spans="1:15">
      <c r="A442" s="6">
        <v>179</v>
      </c>
      <c r="B442" s="6">
        <v>24</v>
      </c>
      <c r="C442" s="6">
        <v>100</v>
      </c>
      <c r="D442" s="102">
        <f>A442*B442*C442/1000</f>
        <v>429.6</v>
      </c>
      <c r="E442" s="102">
        <f>SUM(H365:H371)</f>
        <v>2263.7808219178082</v>
      </c>
      <c r="F442" s="102">
        <f>J433</f>
        <v>1224.5561643835617</v>
      </c>
      <c r="G442" s="102">
        <f>B425</f>
        <v>84244.217896125192</v>
      </c>
      <c r="H442" s="6">
        <v>2.5</v>
      </c>
      <c r="I442" s="6">
        <v>2.5</v>
      </c>
      <c r="J442" s="102">
        <f>G442*I442+F442*H442+(D442+E442)*H442</f>
        <v>220405.3872060664</v>
      </c>
      <c r="K442" s="6">
        <f>227</f>
        <v>227</v>
      </c>
      <c r="L442" s="16">
        <f>J442/K442</f>
        <v>970.94884231747312</v>
      </c>
      <c r="M442" s="105">
        <f>F442+G442</f>
        <v>85468.77406050876</v>
      </c>
      <c r="N442" s="105">
        <f>M442+D442</f>
        <v>85898.374060508766</v>
      </c>
    </row>
    <row r="443" spans="1:15" ht="15.75" thickBot="1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</row>
    <row r="444" spans="1:15" ht="17.25" thickBot="1">
      <c r="A444" s="191" t="s">
        <v>255</v>
      </c>
      <c r="B444" s="193"/>
      <c r="C444" s="52"/>
      <c r="D444" s="52"/>
      <c r="E444" s="52"/>
      <c r="F444" s="52"/>
      <c r="G444" s="52"/>
      <c r="H444" s="9"/>
      <c r="I444" s="9"/>
      <c r="J444" s="9"/>
      <c r="K444" s="9"/>
      <c r="L444" s="9"/>
      <c r="M444" s="9"/>
      <c r="N444" s="9"/>
    </row>
    <row r="445" spans="1:15" ht="16.5">
      <c r="A445" s="24" t="s">
        <v>256</v>
      </c>
      <c r="B445" s="59">
        <v>0.53</v>
      </c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</row>
    <row r="446" spans="1:15" ht="16.5">
      <c r="A446" s="15" t="s">
        <v>257</v>
      </c>
      <c r="B446" s="60">
        <v>0.53</v>
      </c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</row>
    <row r="447" spans="1:15" ht="16.5">
      <c r="A447" s="15" t="s">
        <v>258</v>
      </c>
      <c r="B447" s="61">
        <f>G442*I442</f>
        <v>210610.54474031297</v>
      </c>
      <c r="C447" s="9"/>
      <c r="D447" s="9"/>
      <c r="E447" s="62"/>
      <c r="F447" s="9"/>
      <c r="G447" s="62"/>
      <c r="H447" s="9"/>
      <c r="I447" s="9"/>
      <c r="J447" s="9"/>
      <c r="K447" s="9"/>
      <c r="L447" s="9"/>
      <c r="M447" s="9"/>
      <c r="N447" s="9"/>
    </row>
    <row r="448" spans="1:15" ht="16.5">
      <c r="A448" s="15" t="s">
        <v>259</v>
      </c>
      <c r="B448" s="61">
        <f>F442*H442</f>
        <v>3061.3904109589043</v>
      </c>
      <c r="C448" s="9"/>
      <c r="D448" s="9"/>
      <c r="E448" s="9"/>
      <c r="F448" s="9"/>
      <c r="G448" s="62"/>
      <c r="H448" s="9"/>
      <c r="I448" s="9"/>
      <c r="J448" s="9"/>
      <c r="K448" s="9"/>
      <c r="L448" s="9"/>
      <c r="M448" s="9"/>
      <c r="N448" s="9"/>
    </row>
    <row r="449" spans="1:22" ht="18.75">
      <c r="A449" s="63" t="s">
        <v>260</v>
      </c>
      <c r="B449" s="61">
        <f>(D442+E442)*H442</f>
        <v>6733.4520547945203</v>
      </c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</row>
    <row r="450" spans="1:22" ht="16.5">
      <c r="A450" s="15" t="s">
        <v>261</v>
      </c>
      <c r="B450" s="61">
        <f>B447*B445+B448*B446+B449*B446</f>
        <v>116814.85521921518</v>
      </c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</row>
    <row r="451" spans="1:22" ht="18.75" thickBot="1">
      <c r="A451" s="17" t="s">
        <v>262</v>
      </c>
      <c r="B451" s="58">
        <f>B450/227</f>
        <v>514.60288642826072</v>
      </c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</row>
    <row r="452" spans="1:22" ht="15.75" thickBot="1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</row>
    <row r="453" spans="1:22" ht="15.75" thickBot="1">
      <c r="A453" s="191" t="s">
        <v>169</v>
      </c>
      <c r="B453" s="192"/>
      <c r="C453" s="192"/>
      <c r="D453" s="193"/>
      <c r="E453" s="39"/>
      <c r="F453" s="39"/>
      <c r="G453" s="9"/>
      <c r="H453" s="9"/>
      <c r="I453" s="9"/>
      <c r="J453" s="9"/>
      <c r="K453" s="9"/>
      <c r="L453" s="9"/>
      <c r="M453" s="9"/>
      <c r="N453" s="9"/>
    </row>
    <row r="454" spans="1:22" ht="18">
      <c r="A454" s="13" t="s">
        <v>263</v>
      </c>
      <c r="B454" s="64">
        <f>C383</f>
        <v>234.94858795453274</v>
      </c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</row>
    <row r="455" spans="1:22" ht="18">
      <c r="A455" s="15" t="s">
        <v>264</v>
      </c>
      <c r="B455" s="45">
        <v>75</v>
      </c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</row>
    <row r="456" spans="1:22" ht="18.75" thickBot="1">
      <c r="A456" s="17" t="s">
        <v>265</v>
      </c>
      <c r="B456" s="65">
        <f>(B454/B455)*100</f>
        <v>313.26478393937703</v>
      </c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32"/>
    </row>
    <row r="457" spans="1:22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28"/>
    </row>
    <row r="458" spans="1:22">
      <c r="A458" s="28"/>
      <c r="B458" s="28"/>
      <c r="C458" s="28"/>
      <c r="D458" s="28"/>
      <c r="E458" s="28"/>
      <c r="F458" s="28"/>
      <c r="G458" s="28"/>
      <c r="H458" s="11"/>
      <c r="I458" s="11"/>
      <c r="J458" s="11"/>
      <c r="K458" s="11"/>
      <c r="L458" s="11"/>
      <c r="M458" s="11"/>
      <c r="N458" s="28"/>
      <c r="O458" s="11"/>
      <c r="P458" s="11"/>
      <c r="Q458" s="11"/>
      <c r="R458" s="11"/>
      <c r="S458" s="11"/>
      <c r="T458" s="11"/>
      <c r="U458" s="11"/>
      <c r="V458" s="11"/>
    </row>
    <row r="459" spans="1:22">
      <c r="A459" s="66"/>
      <c r="B459" s="66"/>
      <c r="C459" s="66"/>
      <c r="D459" s="66"/>
      <c r="E459" s="66"/>
      <c r="F459" s="66"/>
      <c r="G459" s="66"/>
      <c r="H459" s="11"/>
      <c r="I459" s="11"/>
      <c r="J459" s="11"/>
      <c r="K459" s="11"/>
      <c r="L459" s="11"/>
      <c r="M459" s="11"/>
      <c r="N459" s="67"/>
      <c r="O459" s="11"/>
      <c r="P459" s="11"/>
      <c r="Q459" s="11"/>
      <c r="R459" s="11"/>
      <c r="S459" s="11"/>
      <c r="T459" s="11"/>
      <c r="U459" s="11"/>
      <c r="V459" s="11"/>
    </row>
    <row r="460" spans="1:22">
      <c r="A460" s="68"/>
      <c r="B460" s="28"/>
      <c r="C460" s="11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</row>
    <row r="461" spans="1:22">
      <c r="A461" s="28"/>
      <c r="B461" s="28"/>
      <c r="C461" s="11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</row>
    <row r="462" spans="1:22">
      <c r="A462" s="28"/>
      <c r="B462" s="28"/>
      <c r="C462" s="11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</row>
    <row r="463" spans="1:22">
      <c r="A463" s="28"/>
      <c r="B463" s="28"/>
      <c r="C463" s="1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</row>
    <row r="464" spans="1:22">
      <c r="A464" s="28"/>
      <c r="B464" s="28"/>
      <c r="C464" s="1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</row>
    <row r="465" spans="1:22">
      <c r="A465" s="32"/>
      <c r="B465" s="28"/>
      <c r="C465" s="11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</row>
    <row r="466" spans="1:22">
      <c r="A466" s="28"/>
      <c r="B466" s="28"/>
      <c r="C466" s="28"/>
      <c r="D466" s="28"/>
      <c r="E466" s="28"/>
      <c r="F466" s="28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</row>
    <row r="467" spans="1:22">
      <c r="A467" s="28"/>
      <c r="B467" s="28"/>
      <c r="C467" s="28"/>
      <c r="D467" s="28"/>
      <c r="E467" s="28"/>
      <c r="F467" s="28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</row>
    <row r="468" spans="1:22" ht="15.75">
      <c r="A468" s="28"/>
      <c r="B468" s="28"/>
      <c r="C468" s="28"/>
      <c r="D468" s="28"/>
      <c r="E468" s="28"/>
      <c r="F468" s="28"/>
      <c r="G468" s="11"/>
      <c r="H468" s="11"/>
      <c r="I468" s="11"/>
      <c r="J468" s="28"/>
      <c r="K468" s="32"/>
      <c r="L468" s="28"/>
      <c r="M468" s="69"/>
      <c r="N468" s="11"/>
      <c r="O468" s="11"/>
      <c r="P468" s="11"/>
      <c r="Q468" s="11"/>
      <c r="R468" s="11"/>
      <c r="S468" s="11"/>
      <c r="T468" s="11"/>
      <c r="U468" s="11"/>
      <c r="V468" s="11"/>
    </row>
    <row r="469" spans="1:22">
      <c r="A469" s="28"/>
      <c r="B469" s="28"/>
      <c r="C469" s="28"/>
      <c r="D469" s="28"/>
      <c r="E469" s="28"/>
      <c r="F469" s="28"/>
      <c r="G469" s="11"/>
      <c r="H469" s="11"/>
      <c r="I469" s="11"/>
      <c r="J469" s="28"/>
      <c r="K469" s="28"/>
      <c r="L469" s="28"/>
      <c r="M469" s="28"/>
      <c r="N469" s="11"/>
      <c r="O469" s="11"/>
      <c r="P469" s="11"/>
      <c r="Q469" s="11"/>
      <c r="R469" s="11"/>
      <c r="S469" s="11"/>
      <c r="T469" s="11"/>
      <c r="U469" s="11"/>
      <c r="V469" s="11"/>
    </row>
    <row r="470" spans="1:22">
      <c r="A470" s="70"/>
      <c r="B470" s="70"/>
      <c r="C470" s="70"/>
      <c r="D470" s="70"/>
      <c r="E470" s="70"/>
      <c r="F470" s="28"/>
      <c r="G470" s="11"/>
      <c r="H470" s="11"/>
      <c r="I470" s="11"/>
      <c r="J470" s="28"/>
      <c r="K470" s="28"/>
      <c r="L470" s="28"/>
      <c r="M470" s="28"/>
      <c r="N470" s="11"/>
      <c r="O470" s="11"/>
      <c r="P470" s="11"/>
      <c r="Q470" s="11"/>
      <c r="R470" s="11"/>
      <c r="S470" s="11"/>
      <c r="T470" s="11"/>
      <c r="U470" s="11"/>
      <c r="V470" s="11"/>
    </row>
    <row r="471" spans="1:22">
      <c r="A471" s="70"/>
      <c r="B471" s="70"/>
      <c r="C471" s="70"/>
      <c r="D471" s="70"/>
      <c r="E471" s="70"/>
      <c r="F471" s="28"/>
      <c r="G471" s="11"/>
      <c r="H471" s="11"/>
      <c r="I471" s="11"/>
      <c r="J471" s="28"/>
      <c r="K471" s="28"/>
      <c r="L471" s="28"/>
      <c r="M471" s="28"/>
      <c r="N471" s="11"/>
      <c r="O471" s="11"/>
      <c r="P471" s="11"/>
      <c r="Q471" s="11"/>
      <c r="R471" s="11"/>
      <c r="S471" s="11"/>
      <c r="T471" s="11"/>
      <c r="U471" s="11"/>
      <c r="V471" s="11"/>
    </row>
    <row r="472" spans="1:22">
      <c r="A472" s="70"/>
      <c r="B472" s="70"/>
      <c r="C472" s="70"/>
      <c r="D472" s="70"/>
      <c r="E472" s="70"/>
      <c r="F472" s="28"/>
      <c r="G472" s="11"/>
      <c r="H472" s="11"/>
      <c r="I472" s="11"/>
      <c r="J472" s="28"/>
      <c r="K472" s="32"/>
      <c r="L472" s="28"/>
      <c r="M472" s="28"/>
      <c r="N472" s="11"/>
      <c r="O472" s="11"/>
      <c r="P472" s="11"/>
      <c r="Q472" s="11"/>
      <c r="R472" s="11"/>
      <c r="S472" s="11"/>
      <c r="T472" s="11"/>
      <c r="U472" s="11"/>
      <c r="V472" s="11"/>
    </row>
    <row r="473" spans="1:22">
      <c r="A473" s="70"/>
      <c r="B473" s="70"/>
      <c r="C473" s="70"/>
      <c r="D473" s="70"/>
      <c r="E473" s="70"/>
      <c r="F473" s="28"/>
      <c r="G473" s="11"/>
      <c r="H473" s="11"/>
      <c r="I473" s="11"/>
      <c r="J473" s="28"/>
      <c r="K473" s="28"/>
      <c r="L473" s="28"/>
      <c r="M473" s="28"/>
      <c r="N473" s="11"/>
      <c r="O473" s="11"/>
      <c r="P473" s="11"/>
      <c r="Q473" s="11"/>
      <c r="R473" s="11"/>
      <c r="S473" s="11"/>
      <c r="T473" s="11"/>
      <c r="U473" s="11"/>
      <c r="V473" s="11"/>
    </row>
    <row r="474" spans="1:22">
      <c r="A474" s="70"/>
      <c r="B474" s="70"/>
      <c r="C474" s="70"/>
      <c r="D474" s="70"/>
      <c r="E474" s="70"/>
      <c r="F474" s="28"/>
      <c r="G474" s="11"/>
      <c r="H474" s="11"/>
      <c r="I474" s="11"/>
      <c r="J474" s="28"/>
      <c r="K474" s="32"/>
      <c r="L474" s="28"/>
      <c r="M474" s="28"/>
      <c r="N474" s="11"/>
      <c r="O474" s="11"/>
      <c r="P474" s="11"/>
      <c r="Q474" s="11"/>
      <c r="R474" s="11"/>
      <c r="S474" s="11"/>
      <c r="T474" s="11"/>
      <c r="U474" s="11"/>
      <c r="V474" s="11"/>
    </row>
    <row r="475" spans="1:22">
      <c r="A475" s="70"/>
      <c r="B475" s="70"/>
      <c r="C475" s="70"/>
      <c r="D475" s="70"/>
      <c r="E475" s="70"/>
      <c r="F475" s="28"/>
      <c r="G475" s="11"/>
      <c r="H475" s="11"/>
      <c r="I475" s="11"/>
      <c r="J475" s="28"/>
      <c r="K475" s="32"/>
      <c r="L475" s="28"/>
      <c r="M475" s="28"/>
      <c r="N475" s="11"/>
      <c r="O475" s="11"/>
      <c r="P475" s="11"/>
      <c r="Q475" s="11"/>
      <c r="R475" s="11"/>
      <c r="S475" s="11"/>
      <c r="T475" s="11"/>
      <c r="U475" s="11"/>
      <c r="V475" s="11"/>
    </row>
    <row r="476" spans="1:22">
      <c r="A476" s="70"/>
      <c r="B476" s="70"/>
      <c r="C476" s="70"/>
      <c r="D476" s="70"/>
      <c r="E476" s="70"/>
      <c r="F476" s="28"/>
      <c r="G476" s="11"/>
      <c r="H476" s="11"/>
      <c r="I476" s="11"/>
      <c r="J476" s="28"/>
      <c r="K476" s="28"/>
      <c r="L476" s="28"/>
      <c r="M476" s="28"/>
      <c r="N476" s="11"/>
      <c r="O476" s="11"/>
      <c r="P476" s="11"/>
      <c r="Q476" s="11"/>
      <c r="R476" s="11"/>
      <c r="S476" s="11"/>
      <c r="T476" s="11"/>
      <c r="U476" s="11"/>
      <c r="V476" s="11"/>
    </row>
    <row r="477" spans="1:22">
      <c r="A477" s="11"/>
      <c r="B477" s="11"/>
      <c r="C477" s="11"/>
      <c r="D477" s="11"/>
      <c r="E477" s="11"/>
      <c r="F477" s="11"/>
      <c r="G477" s="11"/>
      <c r="H477" s="11"/>
      <c r="I477" s="11"/>
      <c r="J477" s="28"/>
      <c r="K477" s="28"/>
      <c r="L477" s="28"/>
      <c r="M477" s="28"/>
      <c r="N477" s="11"/>
      <c r="O477" s="11"/>
      <c r="P477" s="11"/>
      <c r="Q477" s="11"/>
      <c r="R477" s="11"/>
      <c r="S477" s="11"/>
      <c r="T477" s="11"/>
      <c r="U477" s="11"/>
      <c r="V477" s="11"/>
    </row>
    <row r="478" spans="1:22">
      <c r="A478" s="28"/>
      <c r="B478" s="28"/>
      <c r="C478" s="11"/>
      <c r="D478" s="11"/>
      <c r="E478" s="11"/>
      <c r="F478" s="11"/>
      <c r="G478" s="11"/>
      <c r="H478" s="11"/>
      <c r="I478" s="11"/>
      <c r="J478" s="28"/>
      <c r="K478" s="28"/>
      <c r="L478" s="28"/>
      <c r="M478" s="28"/>
      <c r="N478" s="11"/>
      <c r="O478" s="11"/>
      <c r="P478" s="11"/>
      <c r="Q478" s="11"/>
      <c r="R478" s="11"/>
      <c r="S478" s="11"/>
      <c r="T478" s="11"/>
      <c r="U478" s="11"/>
      <c r="V478" s="11"/>
    </row>
    <row r="479" spans="1:22">
      <c r="A479" s="28"/>
      <c r="B479" s="30"/>
      <c r="C479" s="1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</row>
    <row r="480" spans="1:22">
      <c r="A480" s="11"/>
      <c r="B480" s="11"/>
      <c r="C480" s="11"/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</row>
    <row r="481" spans="1:22">
      <c r="A481" s="66"/>
      <c r="B481" s="66"/>
      <c r="C481" s="66"/>
      <c r="D481" s="66"/>
      <c r="E481" s="66"/>
      <c r="F481" s="66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</row>
    <row r="482" spans="1:22">
      <c r="A482" s="28"/>
      <c r="B482" s="30"/>
      <c r="C482" s="11"/>
      <c r="D482" s="11"/>
      <c r="E482" s="11"/>
      <c r="F482" s="11"/>
      <c r="G482" s="30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</row>
    <row r="483" spans="1:22">
      <c r="A483" s="28"/>
      <c r="B483" s="30"/>
      <c r="C483" s="11"/>
      <c r="D483" s="11"/>
      <c r="E483" s="11"/>
      <c r="F483" s="11"/>
      <c r="G483" s="30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</row>
    <row r="484" spans="1:22">
      <c r="A484" s="11"/>
      <c r="B484" s="11"/>
      <c r="C484" s="11"/>
      <c r="D484" s="11"/>
      <c r="E484" s="11"/>
      <c r="F484" s="11"/>
      <c r="G484" s="30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</row>
    <row r="485" spans="1:22">
      <c r="A485" s="11"/>
      <c r="B485" s="11"/>
      <c r="C485" s="11"/>
      <c r="D485" s="11"/>
      <c r="E485" s="11"/>
      <c r="F485" s="11"/>
      <c r="G485" s="30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</row>
    <row r="486" spans="1:22">
      <c r="A486" s="11"/>
      <c r="B486" s="11"/>
      <c r="C486" s="11"/>
      <c r="D486" s="11"/>
      <c r="E486" s="11"/>
      <c r="F486" s="11"/>
      <c r="G486" s="30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</row>
    <row r="487" spans="1:22">
      <c r="A487" s="11"/>
      <c r="B487" s="11"/>
      <c r="C487" s="11"/>
      <c r="D487" s="11"/>
      <c r="E487" s="11"/>
      <c r="F487" s="11"/>
      <c r="G487" s="30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</row>
    <row r="488" spans="1:22">
      <c r="A488" s="11"/>
      <c r="B488" s="11"/>
      <c r="C488" s="11"/>
      <c r="D488" s="11"/>
      <c r="E488" s="11"/>
      <c r="F488" s="11"/>
      <c r="G488" s="30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</row>
    <row r="489" spans="1:22">
      <c r="A489" s="11"/>
      <c r="B489" s="11"/>
      <c r="C489" s="11"/>
      <c r="D489" s="11"/>
      <c r="E489" s="11"/>
      <c r="F489" s="11"/>
      <c r="G489" s="30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</row>
    <row r="490" spans="1:22">
      <c r="A490" s="11"/>
      <c r="B490" s="11"/>
      <c r="C490" s="11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</row>
    <row r="491" spans="1:22">
      <c r="A491" s="11"/>
      <c r="B491" s="11"/>
      <c r="C491" s="11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</row>
    <row r="492" spans="1:22">
      <c r="A492" s="11"/>
      <c r="B492" s="11"/>
      <c r="C492" s="11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</row>
    <row r="493" spans="1:22">
      <c r="A493" s="11"/>
      <c r="B493" s="11"/>
      <c r="C493" s="11"/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28"/>
      <c r="O493" s="28"/>
      <c r="P493" s="28"/>
      <c r="Q493" s="28"/>
      <c r="R493" s="28"/>
      <c r="S493" s="28"/>
      <c r="T493" s="11"/>
      <c r="U493" s="11"/>
      <c r="V493" s="11"/>
    </row>
    <row r="494" spans="1:22">
      <c r="A494" s="11"/>
      <c r="B494" s="11"/>
      <c r="C494" s="11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28"/>
      <c r="O494" s="28"/>
      <c r="P494" s="28"/>
      <c r="Q494" s="28"/>
      <c r="R494" s="28"/>
      <c r="S494" s="30"/>
      <c r="T494" s="11"/>
      <c r="U494" s="11"/>
      <c r="V494" s="11"/>
    </row>
    <row r="495" spans="1:22">
      <c r="A495" s="11"/>
      <c r="B495" s="11"/>
      <c r="C495" s="11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28"/>
      <c r="O495" s="27"/>
      <c r="P495" s="27"/>
      <c r="Q495" s="28"/>
      <c r="R495" s="28"/>
      <c r="S495" s="30"/>
      <c r="T495" s="11"/>
      <c r="U495" s="11"/>
      <c r="V495" s="11"/>
    </row>
    <row r="496" spans="1:22">
      <c r="A496" s="11"/>
      <c r="B496" s="11"/>
      <c r="C496" s="11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30"/>
      <c r="O496" s="27"/>
      <c r="P496" s="27"/>
      <c r="Q496" s="28"/>
      <c r="R496" s="28"/>
      <c r="S496" s="30"/>
      <c r="T496" s="11"/>
      <c r="U496" s="11"/>
      <c r="V496" s="11"/>
    </row>
    <row r="497" spans="1:22">
      <c r="A497" s="11"/>
      <c r="B497" s="11"/>
      <c r="C497" s="11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30"/>
      <c r="O497" s="27"/>
      <c r="P497" s="27"/>
      <c r="Q497" s="28"/>
      <c r="R497" s="28"/>
      <c r="S497" s="30"/>
      <c r="T497" s="11"/>
      <c r="U497" s="11"/>
      <c r="V497" s="11"/>
    </row>
    <row r="498" spans="1:22">
      <c r="A498" s="11"/>
      <c r="B498" s="11"/>
      <c r="C498" s="11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30"/>
      <c r="O498" s="27"/>
      <c r="P498" s="27"/>
      <c r="Q498" s="28"/>
      <c r="R498" s="28"/>
      <c r="S498" s="30"/>
      <c r="T498" s="11"/>
      <c r="U498" s="11"/>
      <c r="V498" s="11"/>
    </row>
    <row r="499" spans="1:22">
      <c r="A499" s="11"/>
      <c r="B499" s="11"/>
      <c r="C499" s="11"/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30"/>
      <c r="O499" s="27"/>
      <c r="P499" s="27"/>
      <c r="Q499" s="28"/>
      <c r="R499" s="28"/>
      <c r="S499" s="30"/>
      <c r="T499" s="11"/>
      <c r="U499" s="11"/>
      <c r="V499" s="11"/>
    </row>
    <row r="500" spans="1:22">
      <c r="A500" s="11"/>
      <c r="B500" s="11"/>
      <c r="C500" s="11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71"/>
      <c r="O500" s="27"/>
      <c r="P500" s="27"/>
      <c r="Q500" s="28"/>
      <c r="R500" s="28"/>
      <c r="S500" s="30"/>
      <c r="T500" s="11"/>
      <c r="U500" s="11"/>
      <c r="V500" s="11"/>
    </row>
    <row r="501" spans="1:22">
      <c r="A501" s="11"/>
      <c r="B501" s="11"/>
      <c r="C501" s="11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28"/>
      <c r="O501" s="27"/>
      <c r="P501" s="27"/>
      <c r="Q501" s="28"/>
      <c r="R501" s="28"/>
      <c r="S501" s="30"/>
      <c r="T501" s="11"/>
      <c r="U501" s="11"/>
      <c r="V501" s="11"/>
    </row>
    <row r="502" spans="1:22">
      <c r="A502" s="11"/>
      <c r="B502" s="11"/>
      <c r="C502" s="11"/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28"/>
      <c r="O502" s="28"/>
      <c r="P502" s="27"/>
      <c r="Q502" s="28"/>
      <c r="R502" s="28"/>
      <c r="S502" s="30"/>
      <c r="T502" s="11"/>
      <c r="U502" s="11"/>
      <c r="V502" s="11"/>
    </row>
    <row r="503" spans="1:22">
      <c r="A503" s="11"/>
      <c r="B503" s="11"/>
      <c r="C503" s="11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71"/>
      <c r="O503" s="28"/>
      <c r="P503" s="28"/>
      <c r="Q503" s="28"/>
      <c r="R503" s="28"/>
      <c r="S503" s="28"/>
      <c r="T503" s="11"/>
      <c r="U503" s="11"/>
      <c r="V503" s="11"/>
    </row>
    <row r="504" spans="1:22">
      <c r="A504" s="11"/>
      <c r="B504" s="11"/>
      <c r="C504" s="11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</row>
    <row r="505" spans="1:22">
      <c r="A505" s="11"/>
      <c r="B505" s="11"/>
      <c r="C505" s="11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</row>
    <row r="506" spans="1:22">
      <c r="A506" s="11"/>
      <c r="B506" s="11"/>
      <c r="C506" s="11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</row>
    <row r="507" spans="1:22">
      <c r="A507" s="11"/>
      <c r="B507" s="11"/>
      <c r="C507" s="11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</row>
    <row r="508" spans="1:22">
      <c r="A508" s="11"/>
      <c r="B508" s="11"/>
      <c r="C508" s="11"/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</row>
    <row r="509" spans="1:22">
      <c r="A509" s="11"/>
      <c r="B509" s="11"/>
      <c r="C509" s="11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</row>
    <row r="510" spans="1:22">
      <c r="A510" s="11"/>
      <c r="B510" s="11"/>
      <c r="C510" s="11"/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</row>
    <row r="511" spans="1:22">
      <c r="A511" s="11"/>
      <c r="B511" s="11"/>
      <c r="C511" s="11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</row>
    <row r="512" spans="1:22">
      <c r="A512" s="11"/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</row>
    <row r="513" spans="1:22">
      <c r="A513" s="11"/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</row>
    <row r="514" spans="1:22">
      <c r="A514" s="11"/>
      <c r="B514" s="11"/>
      <c r="C514" s="11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</row>
    <row r="515" spans="1:22">
      <c r="A515" s="11"/>
      <c r="B515" s="11"/>
      <c r="C515" s="11"/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</row>
    <row r="516" spans="1:22">
      <c r="A516" s="11"/>
      <c r="B516" s="11"/>
      <c r="C516" s="11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</row>
    <row r="517" spans="1:22">
      <c r="A517" s="11"/>
      <c r="B517" s="11"/>
      <c r="C517" s="11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</row>
    <row r="518" spans="1:22">
      <c r="A518" s="11"/>
      <c r="B518" s="11"/>
      <c r="C518" s="11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</row>
    <row r="519" spans="1:22">
      <c r="A519" s="11"/>
      <c r="B519" s="11"/>
      <c r="C519" s="11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</row>
    <row r="520" spans="1:22">
      <c r="A520" s="11"/>
      <c r="B520" s="11"/>
      <c r="C520" s="11"/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</row>
    <row r="521" spans="1:22">
      <c r="A521" s="11"/>
      <c r="B521" s="11"/>
      <c r="C521" s="11"/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</row>
    <row r="522" spans="1:22">
      <c r="A522" s="11"/>
      <c r="B522" s="11"/>
      <c r="C522" s="11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</row>
    <row r="523" spans="1:22">
      <c r="A523" s="11"/>
      <c r="B523" s="11"/>
      <c r="C523" s="11"/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</row>
    <row r="524" spans="1:22">
      <c r="A524" s="11"/>
      <c r="B524" s="11"/>
      <c r="C524" s="11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</row>
    <row r="525" spans="1:22">
      <c r="A525" s="11"/>
      <c r="B525" s="11"/>
      <c r="C525" s="11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</row>
    <row r="526" spans="1:22">
      <c r="A526" s="11"/>
      <c r="B526" s="11"/>
      <c r="C526" s="11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</row>
    <row r="527" spans="1:22">
      <c r="A527" s="11"/>
      <c r="B527" s="11"/>
      <c r="C527" s="11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</row>
    <row r="528" spans="1:22">
      <c r="A528" s="11"/>
      <c r="B528" s="11"/>
      <c r="C528" s="11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</row>
    <row r="529" spans="1:22">
      <c r="A529" s="11"/>
      <c r="B529" s="11"/>
      <c r="C529" s="11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</row>
    <row r="530" spans="1:22">
      <c r="A530" s="11"/>
      <c r="B530" s="11"/>
      <c r="C530" s="11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</row>
    <row r="531" spans="1:22">
      <c r="A531" s="11"/>
      <c r="B531" s="11"/>
      <c r="C531" s="1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</row>
    <row r="532" spans="1:22">
      <c r="A532" s="11"/>
      <c r="B532" s="11"/>
      <c r="C532" s="11"/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</row>
    <row r="533" spans="1:22">
      <c r="A533" s="11"/>
      <c r="B533" s="11"/>
      <c r="C533" s="11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</row>
    <row r="534" spans="1:22">
      <c r="A534" s="11"/>
      <c r="B534" s="11"/>
      <c r="C534" s="11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</row>
    <row r="535" spans="1:22">
      <c r="A535" s="11"/>
      <c r="B535" s="11"/>
      <c r="C535" s="11"/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</row>
    <row r="536" spans="1:22">
      <c r="A536" s="11"/>
      <c r="B536" s="11"/>
      <c r="C536" s="11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</row>
    <row r="537" spans="1:22">
      <c r="A537" s="11"/>
      <c r="B537" s="11"/>
      <c r="C537" s="11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</row>
    <row r="538" spans="1:22">
      <c r="A538" s="11"/>
      <c r="B538" s="11"/>
      <c r="C538" s="11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</row>
    <row r="539" spans="1:22">
      <c r="A539" s="11"/>
      <c r="B539" s="11"/>
      <c r="C539" s="11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</row>
    <row r="540" spans="1:22">
      <c r="A540" s="11"/>
      <c r="B540" s="11"/>
      <c r="C540" s="11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</row>
    <row r="541" spans="1:22">
      <c r="A541" s="11"/>
      <c r="B541" s="11"/>
      <c r="C541" s="11"/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</row>
    <row r="542" spans="1:22">
      <c r="A542" s="11"/>
      <c r="B542" s="11"/>
      <c r="C542" s="11"/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</row>
    <row r="543" spans="1:22">
      <c r="A543" s="11"/>
      <c r="B543" s="11"/>
      <c r="C543" s="11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</row>
    <row r="544" spans="1:22">
      <c r="A544" s="11"/>
      <c r="B544" s="11"/>
      <c r="C544" s="11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</row>
    <row r="545" spans="1:22">
      <c r="A545" s="11"/>
      <c r="B545" s="11"/>
      <c r="C545" s="11"/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</row>
    <row r="546" spans="1:22">
      <c r="A546" s="11"/>
      <c r="B546" s="11"/>
      <c r="C546" s="11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</row>
    <row r="547" spans="1:22">
      <c r="A547" s="11"/>
      <c r="B547" s="11"/>
      <c r="C547" s="11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</row>
    <row r="548" spans="1:22">
      <c r="A548" s="11"/>
      <c r="B548" s="11"/>
      <c r="C548" s="11"/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</row>
    <row r="549" spans="1:22">
      <c r="A549" s="11"/>
      <c r="B549" s="11"/>
      <c r="C549" s="11"/>
      <c r="D549" s="11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</row>
    <row r="550" spans="1:22">
      <c r="A550" s="11"/>
      <c r="B550" s="11"/>
      <c r="C550" s="11"/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</row>
    <row r="551" spans="1:22">
      <c r="A551" s="11"/>
      <c r="B551" s="11"/>
      <c r="C551" s="11"/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</row>
    <row r="552" spans="1:22">
      <c r="A552" s="11"/>
      <c r="B552" s="11"/>
      <c r="C552" s="11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</row>
    <row r="553" spans="1:22">
      <c r="A553" s="11"/>
      <c r="B553" s="11"/>
      <c r="C553" s="11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</row>
    <row r="554" spans="1:22">
      <c r="A554" s="11"/>
      <c r="B554" s="11"/>
      <c r="C554" s="11"/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</row>
    <row r="555" spans="1:22">
      <c r="A555" s="11"/>
      <c r="B555" s="11"/>
      <c r="C555" s="11"/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</row>
    <row r="556" spans="1:22">
      <c r="A556" s="11"/>
      <c r="B556" s="11"/>
      <c r="C556" s="11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</row>
    <row r="557" spans="1:22">
      <c r="A557" s="11"/>
      <c r="B557" s="11"/>
      <c r="C557" s="11"/>
      <c r="D557" s="11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</row>
    <row r="558" spans="1:22">
      <c r="A558" s="11"/>
      <c r="B558" s="11"/>
      <c r="C558" s="11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</row>
    <row r="559" spans="1:22">
      <c r="A559" s="11"/>
      <c r="B559" s="11"/>
      <c r="C559" s="11"/>
      <c r="D559" s="11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</row>
    <row r="560" spans="1:22">
      <c r="A560" s="11"/>
      <c r="B560" s="11"/>
      <c r="C560" s="11"/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</row>
    <row r="561" spans="1:22">
      <c r="A561" s="11"/>
      <c r="B561" s="11"/>
      <c r="C561" s="11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</row>
    <row r="562" spans="1:22">
      <c r="A562" s="11"/>
      <c r="B562" s="11"/>
      <c r="C562" s="11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</row>
    <row r="563" spans="1:22">
      <c r="A563" s="11"/>
      <c r="B563" s="11"/>
      <c r="C563" s="11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</row>
    <row r="564" spans="1:22">
      <c r="A564" s="11"/>
      <c r="B564" s="11"/>
      <c r="C564" s="11"/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</row>
    <row r="565" spans="1:22">
      <c r="A565" s="11"/>
      <c r="B565" s="11"/>
      <c r="C565" s="11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</row>
    <row r="566" spans="1:22">
      <c r="A566" s="11"/>
      <c r="B566" s="11"/>
      <c r="C566" s="11"/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</row>
    <row r="567" spans="1:22">
      <c r="A567" s="11"/>
      <c r="B567" s="11"/>
      <c r="C567" s="11"/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</row>
    <row r="568" spans="1:22">
      <c r="A568" s="11"/>
      <c r="B568" s="11"/>
      <c r="C568" s="11"/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</row>
  </sheetData>
  <mergeCells count="299">
    <mergeCell ref="A453:D453"/>
    <mergeCell ref="C431:E431"/>
    <mergeCell ref="C432:E432"/>
    <mergeCell ref="C433:E433"/>
    <mergeCell ref="F431:G431"/>
    <mergeCell ref="F432:G432"/>
    <mergeCell ref="F433:G433"/>
    <mergeCell ref="H431:I431"/>
    <mergeCell ref="H432:I432"/>
    <mergeCell ref="H433:I433"/>
    <mergeCell ref="A444:B444"/>
    <mergeCell ref="A438:N438"/>
    <mergeCell ref="M430:N430"/>
    <mergeCell ref="K430:L430"/>
    <mergeCell ref="M433:N433"/>
    <mergeCell ref="M432:N432"/>
    <mergeCell ref="M431:N431"/>
    <mergeCell ref="A412:D412"/>
    <mergeCell ref="C417:F417"/>
    <mergeCell ref="B414:D414"/>
    <mergeCell ref="B413:D413"/>
    <mergeCell ref="C418:F418"/>
    <mergeCell ref="C419:F419"/>
    <mergeCell ref="A416:F416"/>
    <mergeCell ref="C420:F420"/>
    <mergeCell ref="K431:L431"/>
    <mergeCell ref="K432:L432"/>
    <mergeCell ref="K433:L433"/>
    <mergeCell ref="A424:C424"/>
    <mergeCell ref="B425:C425"/>
    <mergeCell ref="C430:E430"/>
    <mergeCell ref="F430:G430"/>
    <mergeCell ref="H430:I430"/>
    <mergeCell ref="A409:C409"/>
    <mergeCell ref="B410:C410"/>
    <mergeCell ref="C397:D397"/>
    <mergeCell ref="C398:D398"/>
    <mergeCell ref="C399:D399"/>
    <mergeCell ref="C400:D400"/>
    <mergeCell ref="C401:D401"/>
    <mergeCell ref="C402:D402"/>
    <mergeCell ref="C403:D403"/>
    <mergeCell ref="C404:D404"/>
    <mergeCell ref="C405:D405"/>
    <mergeCell ref="A399:B399"/>
    <mergeCell ref="A400:B400"/>
    <mergeCell ref="A401:B401"/>
    <mergeCell ref="A402:B402"/>
    <mergeCell ref="A403:B403"/>
    <mergeCell ref="A404:B404"/>
    <mergeCell ref="A405:B405"/>
    <mergeCell ref="A397:B398"/>
    <mergeCell ref="A281:K281"/>
    <mergeCell ref="A303:K303"/>
    <mergeCell ref="A202:M202"/>
    <mergeCell ref="A173:M173"/>
    <mergeCell ref="A137:M137"/>
    <mergeCell ref="A226:K226"/>
    <mergeCell ref="A245:K245"/>
    <mergeCell ref="A230:K230"/>
    <mergeCell ref="A31:C31"/>
    <mergeCell ref="H31:I31"/>
    <mergeCell ref="A32:C32"/>
    <mergeCell ref="H32:I32"/>
    <mergeCell ref="A34:C34"/>
    <mergeCell ref="H34:I34"/>
    <mergeCell ref="A35:C36"/>
    <mergeCell ref="D35:D36"/>
    <mergeCell ref="E35:E36"/>
    <mergeCell ref="F35:F36"/>
    <mergeCell ref="G35:G36"/>
    <mergeCell ref="H35:I36"/>
    <mergeCell ref="A33:C33"/>
    <mergeCell ref="H33:I33"/>
    <mergeCell ref="H39:I40"/>
    <mergeCell ref="A37:C38"/>
    <mergeCell ref="C17:F17"/>
    <mergeCell ref="A8:A9"/>
    <mergeCell ref="B8:C9"/>
    <mergeCell ref="B7:C7"/>
    <mergeCell ref="A14:F15"/>
    <mergeCell ref="C16:F16"/>
    <mergeCell ref="A29:I29"/>
    <mergeCell ref="C18:F18"/>
    <mergeCell ref="C19:F19"/>
    <mergeCell ref="C20:F20"/>
    <mergeCell ref="C21:F21"/>
    <mergeCell ref="C22:F22"/>
    <mergeCell ref="C23:F23"/>
    <mergeCell ref="A28:I28"/>
    <mergeCell ref="C24:F24"/>
    <mergeCell ref="D37:D38"/>
    <mergeCell ref="E37:E38"/>
    <mergeCell ref="F37:F38"/>
    <mergeCell ref="G37:G38"/>
    <mergeCell ref="H37:I38"/>
    <mergeCell ref="A39:C40"/>
    <mergeCell ref="D39:D40"/>
    <mergeCell ref="E39:E40"/>
    <mergeCell ref="F39:F40"/>
    <mergeCell ref="G39:G40"/>
    <mergeCell ref="A44:C44"/>
    <mergeCell ref="H44:I44"/>
    <mergeCell ref="A45:C45"/>
    <mergeCell ref="H45:I45"/>
    <mergeCell ref="A46:C46"/>
    <mergeCell ref="H46:I46"/>
    <mergeCell ref="A41:C41"/>
    <mergeCell ref="H41:I41"/>
    <mergeCell ref="A42:C42"/>
    <mergeCell ref="H42:I42"/>
    <mergeCell ref="A43:C43"/>
    <mergeCell ref="H43:I43"/>
    <mergeCell ref="C71:E71"/>
    <mergeCell ref="A47:C47"/>
    <mergeCell ref="H47:I47"/>
    <mergeCell ref="A48:C48"/>
    <mergeCell ref="H48:I48"/>
    <mergeCell ref="H49:I49"/>
    <mergeCell ref="A52:C52"/>
    <mergeCell ref="A69:E69"/>
    <mergeCell ref="A54:C54"/>
    <mergeCell ref="A56:C56"/>
    <mergeCell ref="A62:E62"/>
    <mergeCell ref="C70:E70"/>
    <mergeCell ref="C72:E72"/>
    <mergeCell ref="C73:E73"/>
    <mergeCell ref="A83:I83"/>
    <mergeCell ref="C74:E75"/>
    <mergeCell ref="A115:B115"/>
    <mergeCell ref="A112:B112"/>
    <mergeCell ref="C84:I84"/>
    <mergeCell ref="C85:I85"/>
    <mergeCell ref="C86:I86"/>
    <mergeCell ref="C87:I87"/>
    <mergeCell ref="A95:C95"/>
    <mergeCell ref="A99:D100"/>
    <mergeCell ref="A111:F111"/>
    <mergeCell ref="A113:B113"/>
    <mergeCell ref="A114:B114"/>
    <mergeCell ref="A101:D101"/>
    <mergeCell ref="B97:C97"/>
    <mergeCell ref="B96:C96"/>
    <mergeCell ref="A91:B91"/>
    <mergeCell ref="A331:B331"/>
    <mergeCell ref="A332:B332"/>
    <mergeCell ref="C330:E330"/>
    <mergeCell ref="C331:E331"/>
    <mergeCell ref="C332:E332"/>
    <mergeCell ref="A327:B328"/>
    <mergeCell ref="A329:B329"/>
    <mergeCell ref="C328:E328"/>
    <mergeCell ref="C327:E327"/>
    <mergeCell ref="C329:E329"/>
    <mergeCell ref="A370:B370"/>
    <mergeCell ref="A371:B371"/>
    <mergeCell ref="A363:B364"/>
    <mergeCell ref="A365:B365"/>
    <mergeCell ref="A366:B366"/>
    <mergeCell ref="A367:B367"/>
    <mergeCell ref="A368:B368"/>
    <mergeCell ref="H326:L326"/>
    <mergeCell ref="H327:I328"/>
    <mergeCell ref="J327:L327"/>
    <mergeCell ref="J328:L328"/>
    <mergeCell ref="H329:I329"/>
    <mergeCell ref="J329:L329"/>
    <mergeCell ref="H330:I330"/>
    <mergeCell ref="J330:L330"/>
    <mergeCell ref="H331:I331"/>
    <mergeCell ref="J331:L331"/>
    <mergeCell ref="H332:I332"/>
    <mergeCell ref="J332:L332"/>
    <mergeCell ref="H333:I333"/>
    <mergeCell ref="J333:L333"/>
    <mergeCell ref="H334:I334"/>
    <mergeCell ref="J334:L334"/>
    <mergeCell ref="H335:I335"/>
    <mergeCell ref="G347:H347"/>
    <mergeCell ref="G348:H348"/>
    <mergeCell ref="G352:H352"/>
    <mergeCell ref="G363:G364"/>
    <mergeCell ref="C363:C364"/>
    <mergeCell ref="F363:F364"/>
    <mergeCell ref="D363:D364"/>
    <mergeCell ref="E363:E364"/>
    <mergeCell ref="A369:B369"/>
    <mergeCell ref="A347:B347"/>
    <mergeCell ref="A348:B348"/>
    <mergeCell ref="G343:H343"/>
    <mergeCell ref="A344:B344"/>
    <mergeCell ref="G344:H344"/>
    <mergeCell ref="A345:B345"/>
    <mergeCell ref="G345:H345"/>
    <mergeCell ref="A346:B346"/>
    <mergeCell ref="N98:O98"/>
    <mergeCell ref="I99:J99"/>
    <mergeCell ref="N99:O99"/>
    <mergeCell ref="I100:J100"/>
    <mergeCell ref="N100:O100"/>
    <mergeCell ref="I98:J98"/>
    <mergeCell ref="A118:M118"/>
    <mergeCell ref="A122:M122"/>
    <mergeCell ref="G346:H346"/>
    <mergeCell ref="J335:L335"/>
    <mergeCell ref="A326:E326"/>
    <mergeCell ref="A333:B333"/>
    <mergeCell ref="A334:B334"/>
    <mergeCell ref="A335:B335"/>
    <mergeCell ref="C333:E333"/>
    <mergeCell ref="C334:E334"/>
    <mergeCell ref="C335:E335"/>
    <mergeCell ref="A330:B330"/>
    <mergeCell ref="A30:C30"/>
    <mergeCell ref="G353:H353"/>
    <mergeCell ref="G354:H354"/>
    <mergeCell ref="H363:H364"/>
    <mergeCell ref="A351:H351"/>
    <mergeCell ref="A352:B353"/>
    <mergeCell ref="A354:B354"/>
    <mergeCell ref="C354:C360"/>
    <mergeCell ref="D354:D360"/>
    <mergeCell ref="F354:F360"/>
    <mergeCell ref="A355:B355"/>
    <mergeCell ref="A356:B356"/>
    <mergeCell ref="A357:B357"/>
    <mergeCell ref="A358:B358"/>
    <mergeCell ref="A339:H339"/>
    <mergeCell ref="A340:B341"/>
    <mergeCell ref="G340:H340"/>
    <mergeCell ref="G341:H341"/>
    <mergeCell ref="A342:B342"/>
    <mergeCell ref="C342:C348"/>
    <mergeCell ref="D342:D348"/>
    <mergeCell ref="F342:F348"/>
    <mergeCell ref="G342:H342"/>
    <mergeCell ref="A343:B343"/>
    <mergeCell ref="J363:J364"/>
    <mergeCell ref="K363:K364"/>
    <mergeCell ref="A359:B359"/>
    <mergeCell ref="G359:H359"/>
    <mergeCell ref="A360:B360"/>
    <mergeCell ref="G360:H360"/>
    <mergeCell ref="G355:H355"/>
    <mergeCell ref="G356:H356"/>
    <mergeCell ref="G357:H357"/>
    <mergeCell ref="G358:H358"/>
    <mergeCell ref="C381:D381"/>
    <mergeCell ref="C382:D382"/>
    <mergeCell ref="C383:D383"/>
    <mergeCell ref="A383:B383"/>
    <mergeCell ref="A374:B375"/>
    <mergeCell ref="A376:B376"/>
    <mergeCell ref="A377:B377"/>
    <mergeCell ref="A378:B378"/>
    <mergeCell ref="A379:B379"/>
    <mergeCell ref="A380:B380"/>
    <mergeCell ref="A381:B381"/>
    <mergeCell ref="A382:B382"/>
    <mergeCell ref="C374:D374"/>
    <mergeCell ref="C375:D375"/>
    <mergeCell ref="C376:D376"/>
    <mergeCell ref="C377:D377"/>
    <mergeCell ref="C378:D378"/>
    <mergeCell ref="C379:D379"/>
    <mergeCell ref="C380:D380"/>
    <mergeCell ref="H30:I30"/>
    <mergeCell ref="N362:O363"/>
    <mergeCell ref="P362:P363"/>
    <mergeCell ref="Q362:Q363"/>
    <mergeCell ref="R362:R363"/>
    <mergeCell ref="S362:S363"/>
    <mergeCell ref="T362:T363"/>
    <mergeCell ref="U362:U363"/>
    <mergeCell ref="V362:V363"/>
    <mergeCell ref="N92:O92"/>
    <mergeCell ref="I92:J93"/>
    <mergeCell ref="I91:O91"/>
    <mergeCell ref="N94:O94"/>
    <mergeCell ref="M94:M100"/>
    <mergeCell ref="K94:K100"/>
    <mergeCell ref="I94:J94"/>
    <mergeCell ref="N93:O93"/>
    <mergeCell ref="N97:O97"/>
    <mergeCell ref="I97:J97"/>
    <mergeCell ref="N96:O96"/>
    <mergeCell ref="I96:J96"/>
    <mergeCell ref="N95:O95"/>
    <mergeCell ref="I95:J95"/>
    <mergeCell ref="I363:I364"/>
    <mergeCell ref="W362:W363"/>
    <mergeCell ref="X362:X363"/>
    <mergeCell ref="N364:O364"/>
    <mergeCell ref="N365:O365"/>
    <mergeCell ref="N366:O366"/>
    <mergeCell ref="N367:O367"/>
    <mergeCell ref="N368:O368"/>
    <mergeCell ref="N369:O369"/>
    <mergeCell ref="N370:O370"/>
  </mergeCells>
  <pageMargins left="0.70866141732283472" right="0.70866141732283472" top="0.74803149606299213" bottom="0.74803149606299213" header="0.31496062992125984" footer="0.31496062992125984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S69"/>
  <sheetViews>
    <sheetView tabSelected="1" topLeftCell="I13" zoomScale="115" zoomScaleNormal="115" workbookViewId="0">
      <selection activeCell="J14" sqref="J14:J18"/>
    </sheetView>
  </sheetViews>
  <sheetFormatPr defaultRowHeight="15.75"/>
  <cols>
    <col min="1" max="2" width="8.88671875" style="107"/>
    <col min="3" max="3" width="13.77734375" style="107" customWidth="1"/>
    <col min="4" max="4" width="10.88671875" style="107" customWidth="1"/>
    <col min="5" max="16384" width="8.88671875" style="107"/>
  </cols>
  <sheetData>
    <row r="1" spans="1:19" ht="19.5">
      <c r="A1" s="288" t="s">
        <v>289</v>
      </c>
      <c r="B1" s="288"/>
      <c r="C1" s="288"/>
      <c r="D1" s="288"/>
      <c r="E1" s="288"/>
      <c r="F1" s="288"/>
      <c r="G1" s="288"/>
      <c r="H1" s="106"/>
    </row>
    <row r="2" spans="1:19" ht="19.5">
      <c r="A2" s="106"/>
      <c r="B2" s="106"/>
      <c r="C2" s="106"/>
      <c r="D2" s="106"/>
      <c r="E2" s="106"/>
      <c r="F2" s="106"/>
      <c r="G2" s="106"/>
      <c r="H2" s="106"/>
    </row>
    <row r="3" spans="1:19" ht="17.25">
      <c r="A3" s="108" t="s">
        <v>290</v>
      </c>
      <c r="B3" s="108" t="s">
        <v>291</v>
      </c>
      <c r="C3" s="108"/>
      <c r="D3" s="134" t="s">
        <v>338</v>
      </c>
      <c r="E3" s="135" t="s">
        <v>340</v>
      </c>
      <c r="F3" s="109" t="s">
        <v>341</v>
      </c>
      <c r="G3" s="109" t="s">
        <v>292</v>
      </c>
      <c r="H3" s="110"/>
    </row>
    <row r="4" spans="1:19">
      <c r="A4" s="111">
        <v>-14.5</v>
      </c>
      <c r="B4" s="111" t="s">
        <v>315</v>
      </c>
      <c r="C4" s="111"/>
      <c r="D4" s="111">
        <v>-5</v>
      </c>
      <c r="E4" s="111">
        <v>90</v>
      </c>
      <c r="F4" s="112">
        <v>55</v>
      </c>
      <c r="G4" s="112">
        <v>60</v>
      </c>
      <c r="H4" s="113"/>
    </row>
    <row r="6" spans="1:19">
      <c r="A6" s="289" t="s">
        <v>293</v>
      </c>
      <c r="B6" s="289"/>
      <c r="C6" s="289"/>
      <c r="D6" s="289"/>
      <c r="E6" s="289"/>
      <c r="F6" s="114"/>
      <c r="G6" s="114"/>
      <c r="H6" s="114"/>
    </row>
    <row r="7" spans="1:19" ht="17.25">
      <c r="A7" s="134" t="s">
        <v>342</v>
      </c>
      <c r="B7" s="134" t="s">
        <v>338</v>
      </c>
      <c r="C7" s="115"/>
      <c r="D7" s="109" t="s">
        <v>341</v>
      </c>
      <c r="E7" s="135" t="s">
        <v>340</v>
      </c>
      <c r="G7" s="109" t="s">
        <v>339</v>
      </c>
      <c r="H7" s="110"/>
    </row>
    <row r="8" spans="1:19">
      <c r="A8" s="116">
        <v>18</v>
      </c>
      <c r="B8" s="116">
        <v>18</v>
      </c>
      <c r="C8" s="116"/>
      <c r="D8" s="116">
        <v>65</v>
      </c>
      <c r="E8" s="116">
        <v>65</v>
      </c>
      <c r="G8" s="111">
        <v>-15</v>
      </c>
      <c r="H8" s="117"/>
    </row>
    <row r="10" spans="1:19">
      <c r="R10" s="1">
        <v>-10</v>
      </c>
      <c r="S10" s="1">
        <v>0</v>
      </c>
    </row>
    <row r="11" spans="1:19" ht="16.5">
      <c r="A11" s="290" t="s">
        <v>294</v>
      </c>
      <c r="B11" s="290"/>
      <c r="C11" s="290"/>
      <c r="D11" s="290"/>
      <c r="E11" s="290"/>
      <c r="F11" s="290"/>
      <c r="G11" s="290"/>
      <c r="R11" s="1">
        <v>25</v>
      </c>
      <c r="S11" s="1">
        <v>0</v>
      </c>
    </row>
    <row r="12" spans="1:19">
      <c r="A12" s="108" t="s">
        <v>295</v>
      </c>
      <c r="B12" s="277" t="s">
        <v>296</v>
      </c>
      <c r="C12" s="278"/>
      <c r="D12" s="108" t="s">
        <v>297</v>
      </c>
      <c r="E12" s="108" t="s">
        <v>298</v>
      </c>
      <c r="F12" s="108" t="s">
        <v>299</v>
      </c>
      <c r="G12" s="108" t="s">
        <v>300</v>
      </c>
      <c r="H12" s="118"/>
      <c r="I12" s="107" t="s">
        <v>301</v>
      </c>
      <c r="R12" s="1">
        <v>-10</v>
      </c>
      <c r="S12" s="1">
        <v>2</v>
      </c>
    </row>
    <row r="13" spans="1:19">
      <c r="A13" s="116"/>
      <c r="B13" s="276" t="s">
        <v>302</v>
      </c>
      <c r="C13" s="275"/>
      <c r="D13" s="116"/>
      <c r="E13" s="116"/>
      <c r="F13" s="116">
        <f>$I$13*E13</f>
        <v>0</v>
      </c>
      <c r="G13" s="116">
        <v>20</v>
      </c>
      <c r="H13" s="119"/>
      <c r="I13" s="107">
        <f>(20-D4)/E21</f>
        <v>53.63426539029097</v>
      </c>
      <c r="R13" s="1">
        <v>25</v>
      </c>
      <c r="S13" s="1">
        <v>2</v>
      </c>
    </row>
    <row r="14" spans="1:19">
      <c r="A14" s="116"/>
      <c r="B14" s="276" t="s">
        <v>303</v>
      </c>
      <c r="C14" s="275"/>
      <c r="D14" s="116"/>
      <c r="E14" s="122">
        <v>0.13</v>
      </c>
      <c r="F14" s="122">
        <f>$I$13*E14</f>
        <v>6.9724545007378262</v>
      </c>
      <c r="G14" s="122">
        <f>G13-F14</f>
        <v>13.027545499262175</v>
      </c>
      <c r="H14" s="119"/>
      <c r="J14" s="127" t="s">
        <v>352</v>
      </c>
      <c r="R14" s="1">
        <v>-10</v>
      </c>
      <c r="S14" s="1">
        <v>22</v>
      </c>
    </row>
    <row r="15" spans="1:19">
      <c r="A15" s="111">
        <v>1</v>
      </c>
      <c r="B15" s="276" t="s">
        <v>316</v>
      </c>
      <c r="C15" s="275"/>
      <c r="D15" s="111">
        <v>0.02</v>
      </c>
      <c r="E15" s="122">
        <f>D15/J15</f>
        <v>2.4691358024691357E-2</v>
      </c>
      <c r="F15" s="122">
        <f t="shared" ref="F15:F19" si="0">$I$13*E15</f>
        <v>1.3243028491429869</v>
      </c>
      <c r="G15" s="122">
        <f>G14-F15</f>
        <v>11.703242650119188</v>
      </c>
      <c r="H15" s="119"/>
      <c r="J15" s="5">
        <v>0.81</v>
      </c>
      <c r="R15" s="1">
        <v>25</v>
      </c>
      <c r="S15" s="1">
        <v>22</v>
      </c>
    </row>
    <row r="16" spans="1:19">
      <c r="A16" s="111">
        <v>2</v>
      </c>
      <c r="B16" s="276" t="s">
        <v>317</v>
      </c>
      <c r="C16" s="275"/>
      <c r="D16" s="111">
        <v>0.2</v>
      </c>
      <c r="E16" s="122">
        <f t="shared" ref="E16:E18" si="1">D16/J16</f>
        <v>0.19047619047619047</v>
      </c>
      <c r="F16" s="122">
        <f>$I$13*E16</f>
        <v>10.216050550531612</v>
      </c>
      <c r="G16" s="122">
        <f>G15-F16</f>
        <v>1.4871920995875758</v>
      </c>
      <c r="H16" s="119"/>
      <c r="J16" s="5">
        <v>1.05</v>
      </c>
      <c r="R16" s="1">
        <v>-10</v>
      </c>
      <c r="S16" s="1">
        <v>24</v>
      </c>
    </row>
    <row r="17" spans="1:19">
      <c r="A17" s="111">
        <v>3</v>
      </c>
      <c r="B17" s="276" t="s">
        <v>318</v>
      </c>
      <c r="C17" s="275"/>
      <c r="D17" s="111">
        <v>0.02</v>
      </c>
      <c r="E17" s="122">
        <f t="shared" si="1"/>
        <v>1.4285714285714287E-2</v>
      </c>
      <c r="F17" s="122">
        <f>$I$13*E17</f>
        <v>0.76620379128987104</v>
      </c>
      <c r="G17" s="122">
        <f t="shared" ref="G17:G20" si="2">G16-F17</f>
        <v>0.72098830829770477</v>
      </c>
      <c r="H17" s="119"/>
      <c r="J17" s="5">
        <v>1.4</v>
      </c>
      <c r="R17" s="1">
        <v>25</v>
      </c>
      <c r="S17" s="1">
        <v>24</v>
      </c>
    </row>
    <row r="18" spans="1:19">
      <c r="A18" s="111">
        <v>4</v>
      </c>
      <c r="B18" s="276" t="s">
        <v>319</v>
      </c>
      <c r="C18" s="275"/>
      <c r="D18" s="111">
        <v>7.0000000000000007E-2</v>
      </c>
      <c r="E18" s="122">
        <f t="shared" si="1"/>
        <v>6.6666666666666666E-2</v>
      </c>
      <c r="F18" s="122">
        <f>$I$13*E18</f>
        <v>3.5756176926860648</v>
      </c>
      <c r="G18" s="122">
        <f t="shared" si="2"/>
        <v>-2.8546293843883599</v>
      </c>
      <c r="H18" s="119"/>
      <c r="J18" s="5">
        <v>1.05</v>
      </c>
      <c r="R18" s="1">
        <v>-10</v>
      </c>
      <c r="S18" s="1">
        <v>31</v>
      </c>
    </row>
    <row r="19" spans="1:19">
      <c r="A19" s="116"/>
      <c r="B19" s="276" t="s">
        <v>303</v>
      </c>
      <c r="C19" s="275"/>
      <c r="D19" s="116"/>
      <c r="E19" s="122">
        <v>0.04</v>
      </c>
      <c r="F19" s="122">
        <f t="shared" si="0"/>
        <v>2.1453706156116388</v>
      </c>
      <c r="G19" s="122">
        <f>G18-F19</f>
        <v>-4.9999999999999982</v>
      </c>
      <c r="H19" s="119"/>
      <c r="R19" s="1">
        <v>25</v>
      </c>
      <c r="S19" s="1">
        <v>31</v>
      </c>
    </row>
    <row r="20" spans="1:19">
      <c r="A20" s="116"/>
      <c r="B20" s="276" t="s">
        <v>304</v>
      </c>
      <c r="C20" s="275"/>
      <c r="D20" s="116"/>
      <c r="E20" s="122">
        <v>0.04</v>
      </c>
      <c r="F20" s="122"/>
      <c r="G20" s="122">
        <f t="shared" si="2"/>
        <v>-4.9999999999999982</v>
      </c>
      <c r="H20" s="119"/>
    </row>
    <row r="21" spans="1:19">
      <c r="B21" s="291" t="s">
        <v>305</v>
      </c>
      <c r="C21" s="291"/>
      <c r="E21" s="123">
        <f>SUM(E14:E19)</f>
        <v>0.46611992945326275</v>
      </c>
      <c r="R21" s="2">
        <v>-10</v>
      </c>
      <c r="S21" s="2">
        <v>20</v>
      </c>
    </row>
    <row r="22" spans="1:19">
      <c r="R22" s="2">
        <v>-4.5</v>
      </c>
      <c r="S22" s="3">
        <v>20</v>
      </c>
    </row>
    <row r="23" spans="1:19" ht="16.5">
      <c r="A23" s="290" t="s">
        <v>343</v>
      </c>
      <c r="B23" s="290"/>
      <c r="C23" s="290"/>
      <c r="D23" s="290"/>
      <c r="E23" s="290"/>
      <c r="F23" s="290"/>
      <c r="R23" s="2">
        <v>0</v>
      </c>
      <c r="S23" s="4">
        <v>18.3819664778553</v>
      </c>
    </row>
    <row r="24" spans="1:19">
      <c r="A24" s="108" t="s">
        <v>344</v>
      </c>
      <c r="B24" s="277" t="s">
        <v>345</v>
      </c>
      <c r="C24" s="278"/>
      <c r="D24" s="108" t="s">
        <v>297</v>
      </c>
      <c r="E24" s="108" t="s">
        <v>307</v>
      </c>
      <c r="F24" s="108" t="s">
        <v>350</v>
      </c>
      <c r="R24" s="2">
        <v>2</v>
      </c>
      <c r="S24" s="4">
        <v>18.074647670230402</v>
      </c>
    </row>
    <row r="25" spans="1:19">
      <c r="A25" s="116"/>
      <c r="B25" s="274" t="s">
        <v>346</v>
      </c>
      <c r="C25" s="275"/>
      <c r="D25" s="116"/>
      <c r="E25" s="116"/>
      <c r="F25" s="111"/>
      <c r="R25" s="2">
        <v>22</v>
      </c>
      <c r="S25" s="4">
        <v>14.5185300391431</v>
      </c>
    </row>
    <row r="26" spans="1:19">
      <c r="A26" s="116"/>
      <c r="B26" s="274" t="s">
        <v>347</v>
      </c>
      <c r="C26" s="275"/>
      <c r="D26" s="116"/>
      <c r="E26" s="116"/>
      <c r="F26" s="111"/>
      <c r="R26" s="2">
        <v>24</v>
      </c>
      <c r="S26" s="4">
        <v>14.340724157588699</v>
      </c>
    </row>
    <row r="27" spans="1:19">
      <c r="A27" s="111">
        <v>1</v>
      </c>
      <c r="B27" s="276" t="s">
        <v>316</v>
      </c>
      <c r="C27" s="275"/>
      <c r="D27" s="111">
        <v>0.02</v>
      </c>
      <c r="E27" s="5">
        <v>10</v>
      </c>
      <c r="F27" s="111">
        <f>E27*D27</f>
        <v>0.2</v>
      </c>
      <c r="R27" s="2">
        <v>31</v>
      </c>
      <c r="S27" s="4">
        <v>13.7121175056288</v>
      </c>
    </row>
    <row r="28" spans="1:19">
      <c r="A28" s="111">
        <v>2</v>
      </c>
      <c r="B28" s="276" t="s">
        <v>317</v>
      </c>
      <c r="C28" s="275"/>
      <c r="D28" s="111">
        <v>0.25</v>
      </c>
      <c r="E28" s="5">
        <v>7</v>
      </c>
      <c r="F28" s="111">
        <f t="shared" ref="F28:F30" si="3">E28*D28</f>
        <v>1.75</v>
      </c>
      <c r="R28" s="2">
        <v>36</v>
      </c>
      <c r="S28" s="4">
        <v>-5</v>
      </c>
    </row>
    <row r="29" spans="1:19">
      <c r="A29" s="111">
        <v>3</v>
      </c>
      <c r="B29" s="276" t="s">
        <v>318</v>
      </c>
      <c r="C29" s="275"/>
      <c r="D29" s="111">
        <v>0.02</v>
      </c>
      <c r="E29" s="5">
        <v>30</v>
      </c>
      <c r="F29" s="111">
        <f t="shared" si="3"/>
        <v>0.6</v>
      </c>
      <c r="R29" s="2"/>
      <c r="S29" s="3"/>
    </row>
    <row r="30" spans="1:19">
      <c r="A30" s="111">
        <v>4</v>
      </c>
      <c r="B30" s="276" t="s">
        <v>319</v>
      </c>
      <c r="C30" s="275"/>
      <c r="D30" s="111">
        <v>7.0000000000000007E-2</v>
      </c>
      <c r="E30" s="5">
        <v>35</v>
      </c>
      <c r="F30" s="111">
        <f t="shared" si="3"/>
        <v>2.4500000000000002</v>
      </c>
    </row>
    <row r="31" spans="1:19">
      <c r="A31" s="116"/>
      <c r="B31" s="274" t="s">
        <v>347</v>
      </c>
      <c r="C31" s="275"/>
      <c r="D31" s="116"/>
      <c r="E31" s="116"/>
      <c r="F31" s="111"/>
      <c r="R31" s="107">
        <v>0</v>
      </c>
      <c r="S31" s="107">
        <v>0.2</v>
      </c>
    </row>
    <row r="32" spans="1:19">
      <c r="A32" s="116"/>
      <c r="B32" s="274" t="s">
        <v>348</v>
      </c>
      <c r="C32" s="275"/>
      <c r="D32" s="116"/>
      <c r="E32" s="116"/>
      <c r="F32" s="111"/>
      <c r="R32" s="107">
        <v>1.6</v>
      </c>
      <c r="S32" s="107">
        <v>0.2</v>
      </c>
    </row>
    <row r="33" spans="1:19">
      <c r="R33" s="107">
        <v>0</v>
      </c>
      <c r="S33" s="107">
        <v>1.95</v>
      </c>
    </row>
    <row r="34" spans="1:19">
      <c r="A34" s="289" t="s">
        <v>349</v>
      </c>
      <c r="B34" s="289"/>
      <c r="C34" s="289"/>
      <c r="D34" s="289"/>
      <c r="E34" s="289"/>
      <c r="R34" s="107">
        <v>1.6</v>
      </c>
      <c r="S34" s="107">
        <v>1.95</v>
      </c>
    </row>
    <row r="35" spans="1:19">
      <c r="A35" s="108" t="s">
        <v>306</v>
      </c>
      <c r="B35" s="277" t="s">
        <v>296</v>
      </c>
      <c r="C35" s="278"/>
      <c r="D35" s="108" t="s">
        <v>300</v>
      </c>
      <c r="E35" s="108" t="s">
        <v>308</v>
      </c>
      <c r="R35" s="107">
        <v>0</v>
      </c>
      <c r="S35" s="107">
        <v>2.5499999999999998</v>
      </c>
    </row>
    <row r="36" spans="1:19">
      <c r="A36" s="116"/>
      <c r="B36" s="276" t="s">
        <v>302</v>
      </c>
      <c r="C36" s="275"/>
      <c r="D36" s="124">
        <f t="shared" ref="D36:D41" si="4">G13</f>
        <v>20</v>
      </c>
      <c r="E36" s="124">
        <f>0.6107*(1+D36/109.8)^8.02</f>
        <v>2.3370079288715946</v>
      </c>
      <c r="R36" s="107">
        <v>1.6</v>
      </c>
      <c r="S36" s="107">
        <v>2.5499999999999998</v>
      </c>
    </row>
    <row r="37" spans="1:19">
      <c r="A37" s="116"/>
      <c r="B37" s="276" t="s">
        <v>303</v>
      </c>
      <c r="C37" s="275"/>
      <c r="D37" s="124">
        <f t="shared" si="4"/>
        <v>13.027545499262175</v>
      </c>
      <c r="E37" s="124">
        <f>0.6107*(1+D37/109.8)^8.02</f>
        <v>1.5008913480385524</v>
      </c>
      <c r="R37" s="107">
        <v>0</v>
      </c>
      <c r="S37" s="107">
        <v>5</v>
      </c>
    </row>
    <row r="38" spans="1:19" ht="16.5" thickBot="1">
      <c r="A38" s="111">
        <v>1</v>
      </c>
      <c r="B38" s="276" t="s">
        <v>316</v>
      </c>
      <c r="C38" s="275"/>
      <c r="D38" s="125">
        <f t="shared" si="4"/>
        <v>11.703242650119188</v>
      </c>
      <c r="E38" s="125">
        <f>0.6107*(1+D38/109.8)^8.02</f>
        <v>1.3759157979694563</v>
      </c>
      <c r="R38" s="107">
        <v>1.6</v>
      </c>
      <c r="S38" s="107">
        <v>5</v>
      </c>
    </row>
    <row r="39" spans="1:19">
      <c r="A39" s="111">
        <v>2</v>
      </c>
      <c r="B39" s="276" t="s">
        <v>317</v>
      </c>
      <c r="C39" s="275"/>
      <c r="D39" s="126">
        <f t="shared" si="4"/>
        <v>1.4871920995875758</v>
      </c>
      <c r="E39" s="126">
        <f>0.6107*(1+D39/149)^12.03</f>
        <v>0.68820300369634257</v>
      </c>
      <c r="I39" s="114" t="s">
        <v>309</v>
      </c>
      <c r="K39" s="107">
        <v>0</v>
      </c>
      <c r="L39" s="107">
        <v>0.2</v>
      </c>
      <c r="M39" s="107">
        <v>1.95</v>
      </c>
      <c r="N39" s="107">
        <v>2.5499999999999998</v>
      </c>
      <c r="O39" s="107">
        <v>5</v>
      </c>
    </row>
    <row r="40" spans="1:19">
      <c r="A40" s="111">
        <v>3</v>
      </c>
      <c r="B40" s="276" t="s">
        <v>318</v>
      </c>
      <c r="C40" s="275"/>
      <c r="D40" s="124">
        <f t="shared" si="4"/>
        <v>0.72098830829770477</v>
      </c>
      <c r="E40" s="124">
        <f t="shared" ref="E40:E43" si="5">0.6107*(1+D40/149)^12.03</f>
        <v>0.64721386782152979</v>
      </c>
      <c r="G40" s="117"/>
      <c r="H40" s="117"/>
      <c r="I40" s="121" t="s">
        <v>310</v>
      </c>
      <c r="J40" s="117"/>
      <c r="K40" s="117">
        <v>1.5</v>
      </c>
      <c r="L40" s="117">
        <v>1.38</v>
      </c>
      <c r="M40" s="117">
        <v>0.69</v>
      </c>
      <c r="N40" s="117">
        <v>0.65</v>
      </c>
      <c r="O40" s="113">
        <v>0.48</v>
      </c>
      <c r="P40" s="113"/>
    </row>
    <row r="41" spans="1:19">
      <c r="A41" s="111">
        <v>4</v>
      </c>
      <c r="B41" s="276" t="s">
        <v>319</v>
      </c>
      <c r="C41" s="275"/>
      <c r="D41" s="124">
        <f t="shared" si="4"/>
        <v>-2.8546293843883599</v>
      </c>
      <c r="E41" s="124">
        <f t="shared" si="5"/>
        <v>0.48390645827467216</v>
      </c>
      <c r="G41" s="117"/>
      <c r="H41" s="117"/>
      <c r="I41" s="121"/>
      <c r="J41" s="117"/>
      <c r="K41" s="117"/>
      <c r="L41" s="117"/>
      <c r="M41" s="117"/>
      <c r="N41" s="117"/>
      <c r="O41" s="113"/>
      <c r="P41" s="113"/>
    </row>
    <row r="42" spans="1:19">
      <c r="A42" s="116"/>
      <c r="B42" s="276" t="s">
        <v>303</v>
      </c>
      <c r="C42" s="275"/>
      <c r="D42" s="124">
        <f t="shared" ref="D42:D43" si="6">G19</f>
        <v>-4.9999999999999982</v>
      </c>
      <c r="E42" s="124">
        <f t="shared" si="5"/>
        <v>0.40503997810469256</v>
      </c>
      <c r="G42" s="117"/>
      <c r="H42" s="117"/>
      <c r="I42" s="121" t="s">
        <v>170</v>
      </c>
      <c r="J42" s="117"/>
      <c r="K42" s="117">
        <v>1.2849999999999999</v>
      </c>
      <c r="L42" s="117"/>
      <c r="M42" s="117"/>
      <c r="O42" s="107">
        <v>0.23799999999999999</v>
      </c>
    </row>
    <row r="43" spans="1:19">
      <c r="A43" s="116"/>
      <c r="B43" s="276" t="s">
        <v>304</v>
      </c>
      <c r="C43" s="275"/>
      <c r="D43" s="124">
        <f t="shared" si="6"/>
        <v>-4.9999999999999982</v>
      </c>
      <c r="E43" s="124">
        <f t="shared" si="5"/>
        <v>0.40503997810469256</v>
      </c>
      <c r="G43" s="117"/>
      <c r="H43" s="117"/>
      <c r="I43" s="117"/>
      <c r="J43" s="117"/>
      <c r="K43" s="117"/>
      <c r="L43" s="117"/>
      <c r="M43" s="117"/>
      <c r="N43" s="117"/>
    </row>
    <row r="44" spans="1:19">
      <c r="P44" s="107" t="s">
        <v>311</v>
      </c>
      <c r="R44" s="123">
        <v>11.703242650119188</v>
      </c>
      <c r="S44" s="123">
        <v>1.3759157979694563</v>
      </c>
    </row>
    <row r="45" spans="1:19">
      <c r="R45" s="123">
        <v>1.4871920995875758</v>
      </c>
      <c r="S45" s="123">
        <v>0.68820300369634257</v>
      </c>
    </row>
    <row r="46" spans="1:19">
      <c r="A46" s="292" t="s">
        <v>312</v>
      </c>
      <c r="B46" s="292"/>
      <c r="C46" s="292"/>
      <c r="D46" s="108" t="s">
        <v>313</v>
      </c>
      <c r="E46" s="120">
        <f>$E$36*$F$4/100</f>
        <v>1.2853543608793772</v>
      </c>
      <c r="R46" s="123">
        <v>0.72098830829770477</v>
      </c>
      <c r="S46" s="123">
        <v>0.64721386782152979</v>
      </c>
    </row>
    <row r="47" spans="1:19">
      <c r="A47" s="292"/>
      <c r="B47" s="292"/>
      <c r="C47" s="292"/>
      <c r="D47" s="108" t="s">
        <v>314</v>
      </c>
      <c r="E47" s="120">
        <f>$E$43*$E$4/100</f>
        <v>0.36453598029422329</v>
      </c>
      <c r="R47" s="123">
        <v>-2.8546293843883599</v>
      </c>
      <c r="S47" s="123">
        <v>0.48390645827467216</v>
      </c>
    </row>
    <row r="48" spans="1:19">
      <c r="D48" s="116" t="s">
        <v>334</v>
      </c>
      <c r="E48" s="116">
        <v>0.85</v>
      </c>
    </row>
    <row r="49" spans="1:6">
      <c r="D49" s="116" t="s">
        <v>335</v>
      </c>
      <c r="E49" s="116">
        <v>2.4500000000000002</v>
      </c>
    </row>
    <row r="50" spans="1:6">
      <c r="D50" s="116" t="s">
        <v>336</v>
      </c>
      <c r="E50" s="116">
        <v>1.1000000000000001</v>
      </c>
    </row>
    <row r="51" spans="1:6">
      <c r="D51" s="116" t="s">
        <v>337</v>
      </c>
      <c r="E51" s="116">
        <v>0.6</v>
      </c>
    </row>
    <row r="54" spans="1:6">
      <c r="A54" s="287" t="s">
        <v>320</v>
      </c>
      <c r="B54" s="287"/>
      <c r="C54" s="287"/>
      <c r="D54" s="287"/>
      <c r="E54"/>
      <c r="F54"/>
    </row>
    <row r="55" spans="1:6">
      <c r="A55" s="129" t="s">
        <v>321</v>
      </c>
      <c r="B55" s="282" t="s">
        <v>322</v>
      </c>
      <c r="C55" s="283"/>
      <c r="D55" s="128">
        <f>0.67*((E46-E50)/E48)</f>
        <v>0.14610284916374427</v>
      </c>
      <c r="E55"/>
      <c r="F55"/>
    </row>
    <row r="56" spans="1:6">
      <c r="A56" s="129" t="s">
        <v>323</v>
      </c>
      <c r="B56" s="282" t="s">
        <v>324</v>
      </c>
      <c r="C56" s="283"/>
      <c r="D56" s="128">
        <f>0.67*((E51-E47)/E49)</f>
        <v>6.4392201307294034E-2</v>
      </c>
      <c r="E56"/>
      <c r="F56"/>
    </row>
    <row r="57" spans="1:6">
      <c r="A57"/>
      <c r="B57"/>
      <c r="C57"/>
      <c r="D57"/>
      <c r="E57"/>
      <c r="F57"/>
    </row>
    <row r="58" spans="1:6" ht="18">
      <c r="A58" s="279" t="s">
        <v>325</v>
      </c>
      <c r="B58" s="280"/>
      <c r="C58" s="281"/>
      <c r="D58" s="137" t="s">
        <v>351</v>
      </c>
      <c r="E58" s="133">
        <f>(D55-D56)*24*G4</f>
        <v>117.66333291328834</v>
      </c>
      <c r="F58">
        <f>E58/1000</f>
        <v>0.11766333291328834</v>
      </c>
    </row>
    <row r="59" spans="1:6">
      <c r="A59"/>
      <c r="B59"/>
      <c r="C59"/>
      <c r="D59"/>
      <c r="E59"/>
      <c r="F59"/>
    </row>
    <row r="60" spans="1:6">
      <c r="A60"/>
      <c r="B60"/>
      <c r="C60"/>
      <c r="D60"/>
      <c r="E60"/>
      <c r="F60"/>
    </row>
    <row r="61" spans="1:6">
      <c r="A61" s="279" t="s">
        <v>326</v>
      </c>
      <c r="B61" s="281"/>
      <c r="C61" s="130"/>
      <c r="D61"/>
      <c r="E61"/>
      <c r="F61"/>
    </row>
    <row r="62" spans="1:6">
      <c r="A62" s="128" t="s">
        <v>327</v>
      </c>
      <c r="B62" s="128">
        <v>18</v>
      </c>
      <c r="C62"/>
      <c r="D62"/>
      <c r="E62"/>
      <c r="F62"/>
    </row>
    <row r="63" spans="1:6">
      <c r="A63" s="128" t="s">
        <v>328</v>
      </c>
      <c r="B63" s="128">
        <v>65</v>
      </c>
      <c r="C63"/>
      <c r="D63"/>
      <c r="E63"/>
      <c r="F63"/>
    </row>
    <row r="64" spans="1:6">
      <c r="A64" t="s">
        <v>310</v>
      </c>
      <c r="B64">
        <f>0.6107*(1+B62/109.8)^8.02</f>
        <v>2.0633580654613883</v>
      </c>
      <c r="C64"/>
      <c r="D64"/>
      <c r="E64"/>
      <c r="F64"/>
    </row>
    <row r="65" spans="1:6">
      <c r="A65" t="s">
        <v>329</v>
      </c>
      <c r="B65">
        <f>B64*B63/100</f>
        <v>1.3411827425499023</v>
      </c>
      <c r="C65"/>
      <c r="D65"/>
      <c r="E65"/>
      <c r="F65"/>
    </row>
    <row r="66" spans="1:6">
      <c r="A66"/>
      <c r="B66"/>
      <c r="C66"/>
      <c r="D66"/>
      <c r="E66"/>
      <c r="F66"/>
    </row>
    <row r="67" spans="1:6">
      <c r="A67" s="279" t="s">
        <v>330</v>
      </c>
      <c r="B67" s="280"/>
      <c r="C67" s="281"/>
      <c r="D67" s="129" t="s">
        <v>331</v>
      </c>
      <c r="E67" s="131">
        <f>0.67*((E50-B65)/E48)+0.67*((E51-B65)/E49)</f>
        <v>-0.39279954082969215</v>
      </c>
      <c r="F67">
        <f>ABS(E67)</f>
        <v>0.39279954082969215</v>
      </c>
    </row>
    <row r="68" spans="1:6" ht="31.5" customHeight="1">
      <c r="A68" s="284" t="s">
        <v>332</v>
      </c>
      <c r="B68" s="285"/>
      <c r="C68" s="286"/>
      <c r="D68" s="136">
        <f>(1.3*E58/1000)/((F67/1000)*24)</f>
        <v>16.225656779895459</v>
      </c>
      <c r="E68" s="132" t="s">
        <v>333</v>
      </c>
      <c r="F68"/>
    </row>
    <row r="69" spans="1:6">
      <c r="A69"/>
      <c r="B69"/>
      <c r="C69"/>
      <c r="D69"/>
      <c r="E69"/>
      <c r="F69"/>
    </row>
  </sheetData>
  <mergeCells count="41">
    <mergeCell ref="A34:E34"/>
    <mergeCell ref="B35:C35"/>
    <mergeCell ref="B36:C36"/>
    <mergeCell ref="A46:C47"/>
    <mergeCell ref="B41:C41"/>
    <mergeCell ref="B37:C37"/>
    <mergeCell ref="B38:C38"/>
    <mergeCell ref="B39:C39"/>
    <mergeCell ref="B40:C40"/>
    <mergeCell ref="B42:C42"/>
    <mergeCell ref="B43:C43"/>
    <mergeCell ref="B55:C55"/>
    <mergeCell ref="A54:D54"/>
    <mergeCell ref="B14:C14"/>
    <mergeCell ref="A1:G1"/>
    <mergeCell ref="A6:E6"/>
    <mergeCell ref="A11:G11"/>
    <mergeCell ref="B12:C12"/>
    <mergeCell ref="B13:C13"/>
    <mergeCell ref="B28:C28"/>
    <mergeCell ref="B15:C15"/>
    <mergeCell ref="B16:C16"/>
    <mergeCell ref="B17:C17"/>
    <mergeCell ref="B19:C19"/>
    <mergeCell ref="B20:C20"/>
    <mergeCell ref="B21:C21"/>
    <mergeCell ref="A23:F23"/>
    <mergeCell ref="A58:C58"/>
    <mergeCell ref="B56:C56"/>
    <mergeCell ref="A68:C68"/>
    <mergeCell ref="A67:C67"/>
    <mergeCell ref="A61:B61"/>
    <mergeCell ref="B32:C32"/>
    <mergeCell ref="B31:C31"/>
    <mergeCell ref="B30:C30"/>
    <mergeCell ref="B29:C29"/>
    <mergeCell ref="B18:C18"/>
    <mergeCell ref="B24:C24"/>
    <mergeCell ref="B25:C25"/>
    <mergeCell ref="B26:C26"/>
    <mergeCell ref="B27:C2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Губици;добици</vt:lpstr>
      <vt:lpstr>Дифузија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Maja</cp:lastModifiedBy>
  <cp:lastPrinted>2018-12-12T19:11:33Z</cp:lastPrinted>
  <dcterms:created xsi:type="dcterms:W3CDTF">2006-09-16T00:00:00Z</dcterms:created>
  <dcterms:modified xsi:type="dcterms:W3CDTF">2020-10-21T16:55:53Z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1033-10.2.0.5978</vt:lpwstr>
  </property>
</Properties>
</file>